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<sst xmlns="http://schemas.openxmlformats.org/spreadsheetml/2006/main" count="2914" uniqueCount="1657">
  <si>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</si>
  <si>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</si>
  <si>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</si>
  <si>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</si>
  <si>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</si>
  <si>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</si>
  <si>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</si>
  <si>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</si>
  <si>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</si>
  <si>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</si>
  <si>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</si>
  <si>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</si>
  <si>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</si>
  <si>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</si>
  <si>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</si>
  <si>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</si>
  <si>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</si>
  <si>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</si>
  <si>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</si>
  <si>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</si>
  <si>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</si>
  <si>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</si>
  <si>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</si>
  <si>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</si>
  <si>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</si>
  <si>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</si>
  <si>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</si>
  <si>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</si>
  <si>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</si>
  <si>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</si>
  <si>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</si>
  <si>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</si>
  <si>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</si>
  <si>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</si>
  <si>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</si>
  <si>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</si>
  <si>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</si>
  <si>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</si>
  <si>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</si>
  <si>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</si>
  <si>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</si>
  <si>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</si>
  <si>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</si>
  <si>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</si>
  <si>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</si>
  <si>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</si>
  <si>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</si>
  <si>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</si>
  <si>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</si>
  <si>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</si>
  <si>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</si>
  <si>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</si>
  <si>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</si>
  <si>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</si>
  <si>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</si>
  <si>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</si>
  <si>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</si>
  <si>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</si>
  <si>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</si>
  <si>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</si>
  <si>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</si>
  <si>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</si>
  <si>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</si>
  <si>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</si>
  <si>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</si>
  <si>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</si>
  <si>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Надійшло станом на 13.08.2014</t>
  </si>
  <si>
    <t>Профінансовано на 13.08.2014</t>
  </si>
  <si>
    <t>Залишок коштів на рахунку на 13.08.2014</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</si>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</sst>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1495</v>
      </c>
      <c r="F1" s="20"/>
      <c r="G1" s="21"/>
      <c r="H1" s="21"/>
    </row>
    <row r="2" spans="5:8" ht="44.25" customHeight="1">
      <c r="E2" s="519" t="s">
        <v>131</v>
      </c>
      <c r="F2" s="519"/>
      <c r="G2" s="519"/>
      <c r="H2" s="519"/>
    </row>
    <row r="8" spans="1:7" ht="57" customHeight="1">
      <c r="A8" s="520" t="s">
        <v>600</v>
      </c>
      <c r="B8" s="521"/>
      <c r="C8" s="521"/>
      <c r="D8" s="521"/>
      <c r="E8" s="521"/>
      <c r="F8" s="521"/>
      <c r="G8" s="521"/>
    </row>
    <row r="9" ht="40.5" customHeight="1">
      <c r="G9" s="2" t="s">
        <v>63</v>
      </c>
    </row>
    <row r="10" spans="1:7" ht="20.25">
      <c r="A10" s="522" t="s">
        <v>1085</v>
      </c>
      <c r="B10" s="522" t="s">
        <v>1086</v>
      </c>
      <c r="C10" s="523" t="s">
        <v>517</v>
      </c>
      <c r="D10" s="524"/>
      <c r="E10" s="524"/>
      <c r="F10" s="524"/>
      <c r="G10" s="525"/>
    </row>
    <row r="11" spans="1:7" ht="46.5" customHeight="1">
      <c r="A11" s="522"/>
      <c r="B11" s="522"/>
      <c r="C11" s="526" t="s">
        <v>1311</v>
      </c>
      <c r="D11" s="527"/>
      <c r="E11" s="531" t="s">
        <v>1312</v>
      </c>
      <c r="F11" s="532"/>
      <c r="G11" s="528" t="s">
        <v>1080</v>
      </c>
    </row>
    <row r="12" spans="1:7" ht="20.25">
      <c r="A12" s="522"/>
      <c r="B12" s="522"/>
      <c r="C12" s="3">
        <v>250344</v>
      </c>
      <c r="D12" s="3">
        <v>250380</v>
      </c>
      <c r="E12" s="3">
        <v>250344</v>
      </c>
      <c r="F12" s="3">
        <v>250324</v>
      </c>
      <c r="G12" s="529"/>
    </row>
    <row r="13" spans="1:7" ht="158.25" customHeight="1">
      <c r="A13" s="522"/>
      <c r="B13" s="522"/>
      <c r="C13" s="4" t="s">
        <v>1493</v>
      </c>
      <c r="D13" s="4" t="s">
        <v>978</v>
      </c>
      <c r="E13" s="4" t="s">
        <v>1493</v>
      </c>
      <c r="F13" s="4" t="s">
        <v>88</v>
      </c>
      <c r="G13" s="530"/>
    </row>
    <row r="14" spans="1:7" ht="20.25">
      <c r="A14" s="4"/>
      <c r="B14" s="17" t="s">
        <v>1087</v>
      </c>
      <c r="C14" s="18" t="e">
        <f>#REF!+C15</f>
        <v>#REF!</v>
      </c>
      <c r="D14" s="18"/>
      <c r="E14" s="18">
        <f>E15</f>
        <v>400</v>
      </c>
      <c r="F14" s="18"/>
      <c r="G14" s="18">
        <f>G15</f>
        <v>400</v>
      </c>
    </row>
    <row r="15" spans="1:7" ht="60.75">
      <c r="A15" s="4"/>
      <c r="B15" s="6" t="s">
        <v>979</v>
      </c>
      <c r="C15" s="8"/>
      <c r="D15" s="15"/>
      <c r="E15" s="16">
        <f>200+200</f>
        <v>400</v>
      </c>
      <c r="F15" s="16"/>
      <c r="G15" s="16">
        <f>C15+D15+E15</f>
        <v>400</v>
      </c>
    </row>
    <row r="16" spans="1:7" ht="20.25">
      <c r="A16" s="9">
        <v>23100000000</v>
      </c>
      <c r="B16" s="17" t="s">
        <v>601</v>
      </c>
      <c r="C16" s="17"/>
      <c r="D16" s="18">
        <f>D17</f>
        <v>1191.269</v>
      </c>
      <c r="E16" s="18"/>
      <c r="F16" s="18">
        <f>F17+F18</f>
        <v>3344.5</v>
      </c>
      <c r="G16" s="18">
        <f>SUM(C16:F16)</f>
        <v>4535.769</v>
      </c>
    </row>
    <row r="17" spans="1:7" ht="71.25" customHeight="1">
      <c r="A17" s="4"/>
      <c r="B17" s="6" t="s">
        <v>1310</v>
      </c>
      <c r="C17" s="6"/>
      <c r="D17" s="7">
        <v>1191.269</v>
      </c>
      <c r="E17" s="7"/>
      <c r="F17" s="7"/>
      <c r="G17" s="7">
        <f>D17</f>
        <v>1191.269</v>
      </c>
    </row>
    <row r="18" spans="1:7" ht="40.5">
      <c r="A18" s="4"/>
      <c r="B18" s="19" t="s">
        <v>869</v>
      </c>
      <c r="C18" s="6"/>
      <c r="D18" s="7"/>
      <c r="E18" s="7"/>
      <c r="F18" s="7">
        <v>3344.5</v>
      </c>
      <c r="G18" s="7">
        <f>F18</f>
        <v>3344.5</v>
      </c>
    </row>
    <row r="19" spans="1:7" ht="20.25">
      <c r="A19" s="6"/>
      <c r="B19" s="10" t="s">
        <v>1095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882</v>
      </c>
      <c r="G1" s="498"/>
      <c r="H1" s="498"/>
      <c r="I1" s="110"/>
      <c r="J1" s="110"/>
      <c r="K1" s="511"/>
      <c r="L1" s="492"/>
      <c r="M1" s="492"/>
      <c r="N1" s="492"/>
      <c r="O1" s="492"/>
    </row>
    <row r="2" spans="1:15" ht="82.5" customHeight="1">
      <c r="A2" s="493" t="s">
        <v>479</v>
      </c>
      <c r="B2" s="493"/>
      <c r="C2" s="493"/>
      <c r="D2" s="493"/>
      <c r="E2" s="493"/>
      <c r="F2" s="493"/>
      <c r="G2" s="493"/>
      <c r="H2" s="493"/>
      <c r="I2" s="493"/>
      <c r="J2" s="493"/>
      <c r="K2" s="493"/>
      <c r="L2" s="493"/>
      <c r="M2" s="493"/>
      <c r="N2" s="493"/>
      <c r="O2" s="493"/>
    </row>
    <row r="3" spans="1:15" ht="18.75">
      <c r="A3" s="111"/>
      <c r="B3" s="111"/>
      <c r="C3" s="112"/>
      <c r="D3" s="113"/>
      <c r="E3" s="111"/>
      <c r="F3" s="111"/>
      <c r="G3" s="111"/>
      <c r="H3" s="114" t="s">
        <v>992</v>
      </c>
      <c r="I3" s="115"/>
      <c r="J3" s="115"/>
      <c r="K3" s="116"/>
      <c r="L3" s="115"/>
      <c r="M3" s="117"/>
      <c r="N3" s="117"/>
      <c r="O3" s="107"/>
    </row>
    <row r="4" spans="1:63" s="24" customFormat="1" ht="64.5" customHeight="1">
      <c r="A4" s="118" t="s">
        <v>602</v>
      </c>
      <c r="B4" s="118" t="s">
        <v>603</v>
      </c>
      <c r="C4" s="494" t="s">
        <v>1505</v>
      </c>
      <c r="D4" s="495" t="s">
        <v>604</v>
      </c>
      <c r="E4" s="495" t="s">
        <v>1103</v>
      </c>
      <c r="F4" s="495" t="s">
        <v>248</v>
      </c>
      <c r="G4" s="495" t="s">
        <v>1584</v>
      </c>
      <c r="H4" s="496" t="s">
        <v>1585</v>
      </c>
      <c r="I4" s="497" t="s">
        <v>1586</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1587</v>
      </c>
      <c r="B5" s="118" t="s">
        <v>1083</v>
      </c>
      <c r="C5" s="494"/>
      <c r="D5" s="495"/>
      <c r="E5" s="495"/>
      <c r="F5" s="495"/>
      <c r="G5" s="495"/>
      <c r="H5" s="496"/>
      <c r="I5" s="121" t="s">
        <v>1588</v>
      </c>
      <c r="J5" s="121" t="s">
        <v>1589</v>
      </c>
      <c r="K5" s="122" t="s">
        <v>1590</v>
      </c>
      <c r="L5" s="123" t="s">
        <v>1591</v>
      </c>
      <c r="M5" s="124" t="s">
        <v>1592</v>
      </c>
      <c r="N5" s="124" t="s">
        <v>1593</v>
      </c>
      <c r="O5" s="124" t="s">
        <v>1594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1084</v>
      </c>
      <c r="B7" s="539" t="s">
        <v>1595</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1154</v>
      </c>
      <c r="B8" s="538" t="s">
        <v>1596</v>
      </c>
      <c r="C8" s="135"/>
      <c r="D8" s="136" t="s">
        <v>1597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1598</v>
      </c>
      <c r="D9" s="141" t="s">
        <v>1125</v>
      </c>
      <c r="E9" s="142"/>
      <c r="F9" s="143"/>
      <c r="G9" s="142"/>
      <c r="H9" s="144">
        <f t="shared" si="0"/>
        <v>0</v>
      </c>
      <c r="I9" s="145"/>
      <c r="J9" s="145"/>
      <c r="K9" s="145"/>
      <c r="L9" s="145"/>
      <c r="M9" s="146"/>
      <c r="N9" s="146"/>
      <c r="O9" s="147"/>
      <c r="P9" s="25"/>
      <c r="Q9" s="29"/>
    </row>
    <row r="10" spans="1:17" s="30" customFormat="1" ht="31.5">
      <c r="A10" s="536"/>
      <c r="B10" s="512"/>
      <c r="C10" s="135" t="s">
        <v>1126</v>
      </c>
      <c r="D10" s="141" t="s">
        <v>1127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1128</v>
      </c>
      <c r="D11" s="141" t="s">
        <v>1129</v>
      </c>
      <c r="E11" s="142"/>
      <c r="F11" s="143"/>
      <c r="G11" s="142"/>
      <c r="H11" s="144">
        <f t="shared" si="0"/>
        <v>0</v>
      </c>
      <c r="I11" s="145"/>
      <c r="J11" s="145"/>
      <c r="K11" s="145"/>
      <c r="L11" s="145"/>
      <c r="M11" s="146"/>
      <c r="N11" s="146"/>
      <c r="O11" s="147"/>
      <c r="P11" s="25"/>
      <c r="Q11" s="29"/>
    </row>
    <row r="12" spans="1:17" s="30" customFormat="1" ht="31.5" hidden="1">
      <c r="A12" s="536"/>
      <c r="B12" s="512"/>
      <c r="C12" s="135" t="s">
        <v>1130</v>
      </c>
      <c r="D12" s="141" t="s">
        <v>1220</v>
      </c>
      <c r="E12" s="142"/>
      <c r="F12" s="143"/>
      <c r="G12" s="142"/>
      <c r="H12" s="144">
        <f t="shared" si="0"/>
        <v>0</v>
      </c>
      <c r="I12" s="145"/>
      <c r="J12" s="145"/>
      <c r="K12" s="145"/>
      <c r="L12" s="145"/>
      <c r="M12" s="146"/>
      <c r="N12" s="146"/>
      <c r="O12" s="147"/>
      <c r="P12" s="25"/>
      <c r="Q12" s="29"/>
    </row>
    <row r="13" spans="1:17" s="30" customFormat="1" ht="47.25" hidden="1">
      <c r="A13" s="536"/>
      <c r="B13" s="512"/>
      <c r="C13" s="135" t="s">
        <v>1221</v>
      </c>
      <c r="D13" s="141" t="s">
        <v>1222</v>
      </c>
      <c r="E13" s="142"/>
      <c r="F13" s="143"/>
      <c r="G13" s="142"/>
      <c r="H13" s="144">
        <f t="shared" si="0"/>
        <v>0</v>
      </c>
      <c r="I13" s="145"/>
      <c r="J13" s="145"/>
      <c r="K13" s="145"/>
      <c r="L13" s="145"/>
      <c r="M13" s="146"/>
      <c r="N13" s="146"/>
      <c r="O13" s="147"/>
      <c r="P13" s="25"/>
      <c r="Q13" s="29"/>
    </row>
    <row r="14" spans="1:17" s="30" customFormat="1" ht="15.75" hidden="1">
      <c r="A14" s="536"/>
      <c r="B14" s="512"/>
      <c r="C14" s="135" t="s">
        <v>1223</v>
      </c>
      <c r="D14" s="141" t="s">
        <v>1224</v>
      </c>
      <c r="E14" s="142"/>
      <c r="F14" s="143"/>
      <c r="G14" s="142"/>
      <c r="H14" s="144">
        <f t="shared" si="0"/>
        <v>0</v>
      </c>
      <c r="I14" s="145"/>
      <c r="J14" s="145"/>
      <c r="K14" s="145"/>
      <c r="L14" s="145"/>
      <c r="M14" s="146"/>
      <c r="N14" s="146"/>
      <c r="O14" s="147"/>
      <c r="P14" s="25"/>
      <c r="Q14" s="29"/>
    </row>
    <row r="15" spans="1:17" s="30" customFormat="1" ht="31.5" hidden="1">
      <c r="A15" s="536"/>
      <c r="B15" s="512"/>
      <c r="C15" s="135" t="s">
        <v>1225</v>
      </c>
      <c r="D15" s="141" t="s">
        <v>348</v>
      </c>
      <c r="E15" s="142"/>
      <c r="F15" s="143"/>
      <c r="G15" s="142"/>
      <c r="H15" s="144">
        <f t="shared" si="0"/>
        <v>0</v>
      </c>
      <c r="I15" s="145"/>
      <c r="J15" s="145"/>
      <c r="K15" s="145"/>
      <c r="L15" s="145"/>
      <c r="M15" s="146"/>
      <c r="N15" s="146"/>
      <c r="O15" s="147"/>
      <c r="P15" s="25"/>
      <c r="Q15" s="29"/>
    </row>
    <row r="16" spans="1:17" s="30" customFormat="1" ht="47.25">
      <c r="A16" s="536"/>
      <c r="B16" s="512"/>
      <c r="C16" s="148" t="s">
        <v>1187</v>
      </c>
      <c r="D16" s="141" t="s">
        <v>1561</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1562</v>
      </c>
      <c r="D17" s="141" t="s">
        <v>273</v>
      </c>
      <c r="E17" s="142"/>
      <c r="F17" s="143"/>
      <c r="G17" s="142"/>
      <c r="H17" s="144">
        <f t="shared" si="0"/>
        <v>0</v>
      </c>
      <c r="I17" s="145"/>
      <c r="J17" s="145"/>
      <c r="K17" s="145"/>
      <c r="L17" s="145"/>
      <c r="M17" s="146"/>
      <c r="N17" s="146"/>
      <c r="O17" s="147"/>
      <c r="P17" s="25"/>
      <c r="Q17" s="29"/>
    </row>
    <row r="18" spans="1:17" s="30" customFormat="1" ht="31.5" hidden="1">
      <c r="A18" s="536"/>
      <c r="B18" s="512"/>
      <c r="C18" s="148" t="s">
        <v>274</v>
      </c>
      <c r="D18" s="141" t="s">
        <v>1062</v>
      </c>
      <c r="E18" s="142"/>
      <c r="F18" s="143"/>
      <c r="G18" s="142"/>
      <c r="H18" s="144">
        <f t="shared" si="0"/>
        <v>0</v>
      </c>
      <c r="I18" s="145"/>
      <c r="J18" s="145"/>
      <c r="K18" s="145"/>
      <c r="L18" s="145"/>
      <c r="M18" s="146"/>
      <c r="N18" s="146"/>
      <c r="O18" s="147"/>
      <c r="P18" s="25"/>
      <c r="Q18" s="29"/>
    </row>
    <row r="19" spans="1:17" s="30" customFormat="1" ht="31.5">
      <c r="A19" s="536"/>
      <c r="B19" s="512"/>
      <c r="C19" s="148" t="s">
        <v>1063</v>
      </c>
      <c r="D19" s="141" t="s">
        <v>1064</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1065</v>
      </c>
      <c r="D20" s="141" t="s">
        <v>703</v>
      </c>
      <c r="E20" s="142"/>
      <c r="F20" s="143"/>
      <c r="G20" s="142"/>
      <c r="H20" s="144">
        <f t="shared" si="0"/>
        <v>0</v>
      </c>
      <c r="I20" s="145"/>
      <c r="J20" s="145"/>
      <c r="K20" s="145"/>
      <c r="L20" s="145"/>
      <c r="M20" s="146"/>
      <c r="N20" s="146"/>
      <c r="O20" s="147"/>
      <c r="P20" s="25"/>
      <c r="Q20" s="29"/>
    </row>
    <row r="21" spans="1:17" s="30" customFormat="1" ht="31.5" hidden="1">
      <c r="A21" s="536"/>
      <c r="B21" s="512"/>
      <c r="C21" s="148" t="s">
        <v>704</v>
      </c>
      <c r="D21" s="141" t="s">
        <v>705</v>
      </c>
      <c r="E21" s="142"/>
      <c r="F21" s="143"/>
      <c r="G21" s="142"/>
      <c r="H21" s="144">
        <f t="shared" si="0"/>
        <v>0</v>
      </c>
      <c r="I21" s="145"/>
      <c r="J21" s="145"/>
      <c r="K21" s="145"/>
      <c r="L21" s="145"/>
      <c r="M21" s="146"/>
      <c r="N21" s="146"/>
      <c r="O21" s="147"/>
      <c r="P21" s="25"/>
      <c r="Q21" s="29"/>
    </row>
    <row r="22" spans="1:17" s="30" customFormat="1" ht="31.5" hidden="1">
      <c r="A22" s="536"/>
      <c r="B22" s="512"/>
      <c r="C22" s="149" t="s">
        <v>1118</v>
      </c>
      <c r="D22" s="150" t="s">
        <v>1119</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1120</v>
      </c>
      <c r="E23" s="151"/>
      <c r="F23" s="152"/>
      <c r="G23" s="151"/>
      <c r="H23" s="153">
        <f t="shared" si="0"/>
        <v>0</v>
      </c>
      <c r="I23" s="154"/>
      <c r="J23" s="154"/>
      <c r="K23" s="154"/>
      <c r="L23" s="154"/>
      <c r="M23" s="155"/>
      <c r="N23" s="155"/>
      <c r="O23" s="156"/>
      <c r="P23" s="25"/>
      <c r="Q23" s="29"/>
    </row>
    <row r="24" spans="1:17" s="30" customFormat="1" ht="47.25">
      <c r="A24" s="536"/>
      <c r="B24" s="512"/>
      <c r="C24" s="149"/>
      <c r="D24" s="150" t="s">
        <v>1121</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314</v>
      </c>
      <c r="E25" s="151"/>
      <c r="F25" s="152"/>
      <c r="G25" s="151"/>
      <c r="H25" s="153">
        <f t="shared" si="0"/>
        <v>0</v>
      </c>
      <c r="I25" s="154"/>
      <c r="J25" s="154"/>
      <c r="K25" s="154"/>
      <c r="L25" s="154"/>
      <c r="M25" s="155"/>
      <c r="N25" s="155"/>
      <c r="O25" s="156"/>
      <c r="P25" s="25"/>
      <c r="Q25" s="29"/>
    </row>
    <row r="26" spans="1:17" s="30" customFormat="1" ht="31.5">
      <c r="A26" s="536"/>
      <c r="B26" s="512"/>
      <c r="C26" s="149"/>
      <c r="D26" s="150" t="s">
        <v>755</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1066</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1540</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1152</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1608</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1609</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1610</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349</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350</v>
      </c>
      <c r="E38" s="151"/>
      <c r="F38" s="152"/>
      <c r="G38" s="151"/>
      <c r="H38" s="153">
        <f>I38+K38+L38+M38+N38+O38</f>
        <v>0</v>
      </c>
      <c r="I38" s="154"/>
      <c r="J38" s="154"/>
      <c r="K38" s="154"/>
      <c r="L38" s="154"/>
      <c r="M38" s="155"/>
      <c r="N38" s="155"/>
      <c r="O38" s="156"/>
      <c r="P38" s="25"/>
      <c r="Q38" s="29"/>
    </row>
    <row r="39" spans="1:17" s="30" customFormat="1" ht="47.25" hidden="1">
      <c r="A39" s="537"/>
      <c r="B39" s="537"/>
      <c r="C39" s="149" t="s">
        <v>351</v>
      </c>
      <c r="D39" s="150" t="s">
        <v>1634</v>
      </c>
      <c r="E39" s="151"/>
      <c r="F39" s="152"/>
      <c r="G39" s="151"/>
      <c r="H39" s="153">
        <f>I39+K39+L39+M39+N39+O39</f>
        <v>0</v>
      </c>
      <c r="I39" s="154"/>
      <c r="J39" s="154"/>
      <c r="K39" s="154"/>
      <c r="L39" s="154"/>
      <c r="M39" s="155"/>
      <c r="N39" s="155"/>
      <c r="O39" s="156"/>
      <c r="P39" s="25"/>
      <c r="Q39" s="29"/>
    </row>
    <row r="40" spans="1:17" s="30" customFormat="1" ht="31.5" hidden="1">
      <c r="A40" s="508" t="s">
        <v>1496</v>
      </c>
      <c r="B40" s="510" t="s">
        <v>126</v>
      </c>
      <c r="C40" s="148"/>
      <c r="D40" s="33" t="s">
        <v>1199</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1200</v>
      </c>
      <c r="E41" s="142"/>
      <c r="F41" s="143"/>
      <c r="G41" s="142"/>
      <c r="H41" s="144">
        <f>I41+K41+L41+M41+N41+O41</f>
        <v>0</v>
      </c>
      <c r="I41" s="145"/>
      <c r="J41" s="145"/>
      <c r="K41" s="145"/>
      <c r="L41" s="145"/>
      <c r="M41" s="146"/>
      <c r="N41" s="146"/>
      <c r="O41" s="147"/>
      <c r="P41" s="25"/>
      <c r="Q41" s="29"/>
    </row>
    <row r="42" spans="1:17" s="30" customFormat="1" ht="15.75" hidden="1">
      <c r="A42" s="513">
        <v>110502</v>
      </c>
      <c r="B42" s="518" t="s">
        <v>1504</v>
      </c>
      <c r="C42" s="148"/>
      <c r="D42" s="136" t="s">
        <v>1597</v>
      </c>
      <c r="E42" s="142"/>
      <c r="F42" s="143"/>
      <c r="G42" s="142"/>
      <c r="H42" s="144"/>
      <c r="I42" s="145"/>
      <c r="J42" s="145"/>
      <c r="K42" s="145"/>
      <c r="L42" s="145"/>
      <c r="M42" s="146"/>
      <c r="N42" s="146"/>
      <c r="O42" s="147"/>
      <c r="P42" s="25"/>
      <c r="Q42" s="29"/>
    </row>
    <row r="43" spans="1:17" s="30" customFormat="1" ht="31.5" hidden="1">
      <c r="A43" s="514"/>
      <c r="B43" s="507"/>
      <c r="C43" s="148"/>
      <c r="D43" s="136" t="s">
        <v>1201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1202</v>
      </c>
      <c r="E44" s="142"/>
      <c r="F44" s="143"/>
      <c r="G44" s="142"/>
      <c r="H44" s="144">
        <f t="shared" si="2"/>
        <v>0</v>
      </c>
      <c r="I44" s="145"/>
      <c r="J44" s="145"/>
      <c r="K44" s="145"/>
      <c r="L44" s="163"/>
      <c r="M44" s="146"/>
      <c r="N44" s="146"/>
      <c r="O44" s="147"/>
      <c r="P44" s="25"/>
      <c r="Q44" s="29"/>
    </row>
    <row r="45" spans="1:16" s="36" customFormat="1" ht="31.5" hidden="1">
      <c r="A45" s="537"/>
      <c r="B45" s="537"/>
      <c r="C45" s="148" t="s">
        <v>1203</v>
      </c>
      <c r="D45" s="141" t="s">
        <v>1204</v>
      </c>
      <c r="E45" s="142"/>
      <c r="F45" s="143"/>
      <c r="G45" s="142"/>
      <c r="H45" s="144">
        <f t="shared" si="2"/>
        <v>0</v>
      </c>
      <c r="I45" s="145"/>
      <c r="J45" s="145"/>
      <c r="K45" s="145"/>
      <c r="L45" s="145"/>
      <c r="M45" s="146"/>
      <c r="N45" s="146"/>
      <c r="O45" s="147"/>
      <c r="P45" s="35"/>
    </row>
    <row r="46" spans="1:63" s="28" customFormat="1" ht="15.75" hidden="1">
      <c r="A46" s="535" t="s">
        <v>1090</v>
      </c>
      <c r="B46" s="538" t="s">
        <v>1091</v>
      </c>
      <c r="C46" s="148"/>
      <c r="D46" s="136" t="s">
        <v>1597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1205</v>
      </c>
      <c r="D47" s="141" t="s">
        <v>1206</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1207</v>
      </c>
      <c r="D48" s="141" t="s">
        <v>1208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1367</v>
      </c>
      <c r="C49" s="167"/>
      <c r="D49" s="168" t="s">
        <v>406</v>
      </c>
      <c r="E49" s="137"/>
      <c r="F49" s="159"/>
      <c r="G49" s="137"/>
      <c r="H49" s="139">
        <f t="shared" si="2"/>
        <v>0</v>
      </c>
      <c r="I49" s="169"/>
      <c r="J49" s="169"/>
      <c r="K49" s="169"/>
      <c r="L49" s="170"/>
      <c r="M49" s="171"/>
      <c r="N49" s="171"/>
      <c r="O49" s="171"/>
      <c r="P49" s="25"/>
      <c r="Q49" s="29"/>
    </row>
    <row r="50" spans="1:17" s="30" customFormat="1" ht="31.5" hidden="1">
      <c r="A50" s="538">
        <v>250404</v>
      </c>
      <c r="B50" s="538" t="s">
        <v>1079</v>
      </c>
      <c r="C50" s="135"/>
      <c r="D50" s="136" t="s">
        <v>407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408</v>
      </c>
      <c r="D51" s="141" t="s">
        <v>1613</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1614</v>
      </c>
      <c r="D52" s="141" t="s">
        <v>1200</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1615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321</v>
      </c>
      <c r="E54" s="172"/>
      <c r="F54" s="143"/>
      <c r="G54" s="172"/>
      <c r="H54" s="144">
        <f t="shared" si="2"/>
        <v>0</v>
      </c>
      <c r="I54" s="145"/>
      <c r="J54" s="145"/>
      <c r="K54" s="165"/>
      <c r="L54" s="173"/>
      <c r="M54" s="146"/>
      <c r="N54" s="146"/>
      <c r="O54" s="147"/>
      <c r="P54" s="25"/>
      <c r="Q54" s="29"/>
    </row>
    <row r="55" spans="1:17" s="30" customFormat="1" ht="47.25" hidden="1">
      <c r="A55" s="517"/>
      <c r="B55" s="517"/>
      <c r="C55" s="175" t="s">
        <v>1614</v>
      </c>
      <c r="D55" s="141" t="s">
        <v>1200</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322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323</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324</v>
      </c>
      <c r="E59" s="142"/>
      <c r="F59" s="143"/>
      <c r="G59" s="142"/>
      <c r="H59" s="144">
        <f t="shared" si="3"/>
        <v>0</v>
      </c>
      <c r="I59" s="145"/>
      <c r="J59" s="145"/>
      <c r="K59" s="145"/>
      <c r="L59" s="145"/>
      <c r="M59" s="146"/>
      <c r="N59" s="146"/>
      <c r="O59" s="147"/>
      <c r="P59" s="25"/>
      <c r="Q59" s="22"/>
    </row>
    <row r="60" spans="1:17" s="30" customFormat="1" ht="18.75" hidden="1">
      <c r="A60" s="517"/>
      <c r="B60" s="517"/>
      <c r="C60" s="167" t="s">
        <v>325</v>
      </c>
      <c r="D60" s="141" t="s">
        <v>326</v>
      </c>
      <c r="E60" s="172"/>
      <c r="F60" s="143"/>
      <c r="G60" s="172"/>
      <c r="H60" s="144">
        <f t="shared" si="3"/>
        <v>0</v>
      </c>
      <c r="I60" s="145"/>
      <c r="J60" s="163"/>
      <c r="K60" s="163"/>
      <c r="L60" s="173"/>
      <c r="M60" s="182"/>
      <c r="N60" s="182"/>
      <c r="O60" s="183"/>
      <c r="P60" s="25"/>
      <c r="Q60" s="29"/>
    </row>
    <row r="61" spans="1:17" s="30" customFormat="1" ht="31.5" hidden="1">
      <c r="A61" s="517"/>
      <c r="B61" s="517"/>
      <c r="C61" s="167" t="s">
        <v>327</v>
      </c>
      <c r="D61" s="141" t="s">
        <v>328</v>
      </c>
      <c r="E61" s="172"/>
      <c r="F61" s="143"/>
      <c r="G61" s="172"/>
      <c r="H61" s="144">
        <f t="shared" si="3"/>
        <v>0</v>
      </c>
      <c r="I61" s="145"/>
      <c r="J61" s="163"/>
      <c r="K61" s="163"/>
      <c r="L61" s="173"/>
      <c r="M61" s="182"/>
      <c r="N61" s="182"/>
      <c r="O61" s="183"/>
      <c r="P61" s="25"/>
      <c r="Q61" s="29"/>
    </row>
    <row r="62" spans="1:17" s="30" customFormat="1" ht="18.75" hidden="1">
      <c r="A62" s="537"/>
      <c r="B62" s="537"/>
      <c r="C62" s="167" t="s">
        <v>329</v>
      </c>
      <c r="D62" s="141" t="s">
        <v>330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54</v>
      </c>
      <c r="B64" s="504" t="s">
        <v>331</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1154</v>
      </c>
      <c r="B65" s="518" t="s">
        <v>1596</v>
      </c>
      <c r="C65" s="184"/>
      <c r="D65" s="136" t="s">
        <v>332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684</v>
      </c>
      <c r="E66" s="172"/>
      <c r="F66" s="143"/>
      <c r="G66" s="172"/>
      <c r="H66" s="144">
        <f t="shared" si="4"/>
        <v>0</v>
      </c>
      <c r="I66" s="145"/>
      <c r="J66" s="163"/>
      <c r="K66" s="163"/>
      <c r="L66" s="144"/>
      <c r="M66" s="182"/>
      <c r="N66" s="182"/>
      <c r="O66" s="183"/>
      <c r="P66" s="35"/>
    </row>
    <row r="67" spans="1:16" s="36" customFormat="1" ht="31.5" hidden="1">
      <c r="A67" s="500"/>
      <c r="B67" s="507"/>
      <c r="C67" s="167"/>
      <c r="D67" s="14" t="s">
        <v>1124</v>
      </c>
      <c r="E67" s="172"/>
      <c r="F67" s="143"/>
      <c r="G67" s="172"/>
      <c r="H67" s="144">
        <f t="shared" si="4"/>
        <v>0</v>
      </c>
      <c r="I67" s="145"/>
      <c r="J67" s="163"/>
      <c r="K67" s="163"/>
      <c r="L67" s="144"/>
      <c r="M67" s="182"/>
      <c r="N67" s="182"/>
      <c r="O67" s="183"/>
      <c r="P67" s="35"/>
    </row>
    <row r="68" spans="1:16" s="36" customFormat="1" ht="47.25" hidden="1">
      <c r="A68" s="500"/>
      <c r="B68" s="507"/>
      <c r="C68" s="167"/>
      <c r="D68" s="14" t="s">
        <v>1122</v>
      </c>
      <c r="E68" s="172"/>
      <c r="F68" s="143"/>
      <c r="G68" s="172"/>
      <c r="H68" s="144">
        <f t="shared" si="4"/>
        <v>0</v>
      </c>
      <c r="I68" s="145"/>
      <c r="J68" s="163"/>
      <c r="K68" s="163"/>
      <c r="L68" s="144"/>
      <c r="M68" s="182"/>
      <c r="N68" s="182"/>
      <c r="O68" s="183"/>
      <c r="P68" s="35"/>
    </row>
    <row r="69" spans="1:16" s="36" customFormat="1" ht="31.5" hidden="1">
      <c r="A69" s="500"/>
      <c r="B69" s="540"/>
      <c r="C69" s="167"/>
      <c r="D69" s="141" t="s">
        <v>1123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852</v>
      </c>
      <c r="B71" s="539" t="s">
        <v>870</v>
      </c>
      <c r="C71" s="539"/>
      <c r="D71" s="539"/>
      <c r="E71" s="185"/>
      <c r="F71" s="186"/>
      <c r="G71" s="185"/>
      <c r="H71" s="187">
        <f>H72</f>
        <v>0</v>
      </c>
      <c r="I71" s="188"/>
      <c r="J71" s="189"/>
      <c r="K71" s="189"/>
      <c r="L71" s="190">
        <f>L72</f>
        <v>0</v>
      </c>
      <c r="M71" s="191"/>
      <c r="N71" s="191"/>
      <c r="O71" s="192"/>
      <c r="P71" s="25"/>
      <c r="Q71" s="29"/>
    </row>
    <row r="72" spans="1:17" s="30" customFormat="1" ht="31.5" hidden="1">
      <c r="A72" s="535" t="s">
        <v>1496</v>
      </c>
      <c r="B72" s="518" t="s">
        <v>126</v>
      </c>
      <c r="C72" s="148"/>
      <c r="D72" s="33" t="s">
        <v>1199</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1614</v>
      </c>
      <c r="D73" s="141" t="s">
        <v>1200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55</v>
      </c>
      <c r="B76" s="539" t="s">
        <v>7</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1154</v>
      </c>
      <c r="B77" s="544" t="s">
        <v>1596</v>
      </c>
      <c r="C77" s="195"/>
      <c r="D77" s="136" t="s">
        <v>1597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8</v>
      </c>
      <c r="D78" s="141" t="s">
        <v>1209</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367</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368</v>
      </c>
      <c r="E80" s="142"/>
      <c r="F80" s="143"/>
      <c r="G80" s="172"/>
      <c r="H80" s="144">
        <f t="shared" si="8"/>
        <v>0</v>
      </c>
      <c r="I80" s="163"/>
      <c r="J80" s="163"/>
      <c r="K80" s="163"/>
      <c r="L80" s="145"/>
      <c r="M80" s="182"/>
      <c r="N80" s="182"/>
      <c r="O80" s="182"/>
      <c r="P80" s="25"/>
      <c r="Q80" s="22"/>
    </row>
    <row r="81" spans="1:16" ht="31.5" hidden="1">
      <c r="A81" s="508"/>
      <c r="B81" s="544"/>
      <c r="C81" s="135"/>
      <c r="D81" s="141" t="s">
        <v>369</v>
      </c>
      <c r="E81" s="142"/>
      <c r="F81" s="143"/>
      <c r="G81" s="172"/>
      <c r="H81" s="144">
        <f t="shared" si="8"/>
        <v>0</v>
      </c>
      <c r="I81" s="163"/>
      <c r="J81" s="163"/>
      <c r="K81" s="163"/>
      <c r="L81" s="145"/>
      <c r="M81" s="182"/>
      <c r="N81" s="182"/>
      <c r="O81" s="182"/>
      <c r="P81" s="25"/>
    </row>
    <row r="82" spans="1:16" ht="31.5" hidden="1">
      <c r="A82" s="508"/>
      <c r="B82" s="544"/>
      <c r="C82" s="135" t="s">
        <v>370</v>
      </c>
      <c r="D82" s="141" t="s">
        <v>371</v>
      </c>
      <c r="E82" s="142"/>
      <c r="F82" s="143"/>
      <c r="G82" s="172"/>
      <c r="H82" s="144">
        <f t="shared" si="8"/>
        <v>0</v>
      </c>
      <c r="I82" s="163"/>
      <c r="J82" s="163"/>
      <c r="K82" s="163"/>
      <c r="L82" s="145"/>
      <c r="M82" s="182"/>
      <c r="N82" s="182"/>
      <c r="O82" s="182"/>
      <c r="P82" s="25"/>
    </row>
    <row r="83" spans="1:17" s="30" customFormat="1" ht="18.75" customHeight="1">
      <c r="A83" s="157" t="s">
        <v>983</v>
      </c>
      <c r="B83" s="166" t="s">
        <v>984</v>
      </c>
      <c r="C83" s="167"/>
      <c r="D83" s="196" t="s">
        <v>132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985</v>
      </c>
      <c r="B84" s="538" t="s">
        <v>986</v>
      </c>
      <c r="C84" s="167"/>
      <c r="D84" s="136" t="s">
        <v>332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409</v>
      </c>
      <c r="D85" s="141" t="s">
        <v>410</v>
      </c>
      <c r="E85" s="142"/>
      <c r="F85" s="143"/>
      <c r="G85" s="172"/>
      <c r="H85" s="144">
        <f t="shared" si="8"/>
        <v>0</v>
      </c>
      <c r="I85" s="145"/>
      <c r="J85" s="145"/>
      <c r="K85" s="145"/>
      <c r="L85" s="145"/>
      <c r="M85" s="146"/>
      <c r="N85" s="146"/>
      <c r="O85" s="147"/>
      <c r="P85" s="25"/>
    </row>
    <row r="86" spans="1:16" ht="31.5">
      <c r="A86" s="536"/>
      <c r="B86" s="512"/>
      <c r="C86" s="501" t="s">
        <v>411</v>
      </c>
      <c r="D86" s="141" t="s">
        <v>1249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1250</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1251</v>
      </c>
      <c r="E88" s="199">
        <v>45</v>
      </c>
      <c r="F88" s="200">
        <f>100%-((E88-G88)/E88)</f>
        <v>1</v>
      </c>
      <c r="G88" s="199">
        <v>45</v>
      </c>
      <c r="H88" s="201">
        <f t="shared" si="8"/>
        <v>0</v>
      </c>
      <c r="I88" s="202"/>
      <c r="J88" s="202"/>
      <c r="K88" s="202"/>
      <c r="L88" s="202"/>
      <c r="M88" s="203"/>
      <c r="N88" s="203"/>
      <c r="O88" s="204"/>
      <c r="P88" s="25"/>
    </row>
    <row r="89" spans="1:16" ht="31.5">
      <c r="A89" s="536"/>
      <c r="B89" s="512"/>
      <c r="C89" s="501" t="s">
        <v>10</v>
      </c>
      <c r="D89" s="141" t="s">
        <v>11</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12</v>
      </c>
      <c r="E90" s="142"/>
      <c r="F90" s="143"/>
      <c r="G90" s="172"/>
      <c r="H90" s="201">
        <f t="shared" si="8"/>
        <v>0</v>
      </c>
      <c r="I90" s="145"/>
      <c r="J90" s="145"/>
      <c r="K90" s="145"/>
      <c r="L90" s="202"/>
      <c r="M90" s="146"/>
      <c r="N90" s="146"/>
      <c r="O90" s="147"/>
      <c r="P90" s="25"/>
    </row>
    <row r="91" spans="1:16" ht="15.75" customHeight="1" hidden="1">
      <c r="A91" s="536"/>
      <c r="B91" s="512"/>
      <c r="C91" s="503"/>
      <c r="D91" s="206" t="s">
        <v>13</v>
      </c>
      <c r="E91" s="142"/>
      <c r="F91" s="143"/>
      <c r="G91" s="172"/>
      <c r="H91" s="201">
        <f t="shared" si="8"/>
        <v>0</v>
      </c>
      <c r="I91" s="145"/>
      <c r="J91" s="145"/>
      <c r="K91" s="145"/>
      <c r="L91" s="202"/>
      <c r="M91" s="146"/>
      <c r="N91" s="146"/>
      <c r="O91" s="147"/>
      <c r="P91" s="25"/>
    </row>
    <row r="92" spans="1:16" ht="31.5" customHeight="1" hidden="1">
      <c r="A92" s="536"/>
      <c r="B92" s="512"/>
      <c r="C92" s="167" t="s">
        <v>1601</v>
      </c>
      <c r="D92" s="141" t="s">
        <v>1602</v>
      </c>
      <c r="E92" s="142"/>
      <c r="F92" s="143"/>
      <c r="G92" s="172"/>
      <c r="H92" s="144">
        <f t="shared" si="8"/>
        <v>0</v>
      </c>
      <c r="I92" s="145"/>
      <c r="J92" s="145"/>
      <c r="K92" s="145"/>
      <c r="L92" s="145"/>
      <c r="M92" s="146"/>
      <c r="N92" s="146"/>
      <c r="O92" s="147"/>
      <c r="P92" s="25"/>
    </row>
    <row r="93" spans="1:16" ht="47.25" customHeight="1" hidden="1">
      <c r="A93" s="536"/>
      <c r="B93" s="512"/>
      <c r="C93" s="501" t="s">
        <v>1603</v>
      </c>
      <c r="D93" s="141" t="s">
        <v>1156</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1157</v>
      </c>
      <c r="E94" s="199"/>
      <c r="F94" s="143"/>
      <c r="G94" s="207"/>
      <c r="H94" s="201">
        <f t="shared" si="8"/>
        <v>0</v>
      </c>
      <c r="I94" s="202"/>
      <c r="J94" s="202"/>
      <c r="K94" s="202"/>
      <c r="L94" s="202"/>
      <c r="M94" s="146"/>
      <c r="N94" s="146"/>
      <c r="O94" s="147"/>
      <c r="P94" s="25"/>
    </row>
    <row r="95" spans="1:16" ht="15.75" customHeight="1" hidden="1">
      <c r="A95" s="536"/>
      <c r="B95" s="512"/>
      <c r="C95" s="502"/>
      <c r="D95" s="198" t="s">
        <v>1158</v>
      </c>
      <c r="E95" s="199"/>
      <c r="F95" s="143"/>
      <c r="G95" s="207"/>
      <c r="H95" s="201">
        <f t="shared" si="8"/>
        <v>0</v>
      </c>
      <c r="I95" s="202"/>
      <c r="J95" s="202"/>
      <c r="K95" s="202"/>
      <c r="L95" s="202"/>
      <c r="M95" s="146"/>
      <c r="N95" s="146"/>
      <c r="O95" s="147"/>
      <c r="P95" s="25"/>
    </row>
    <row r="96" spans="1:16" ht="15.75" customHeight="1" hidden="1">
      <c r="A96" s="536"/>
      <c r="B96" s="512"/>
      <c r="C96" s="502"/>
      <c r="D96" s="198" t="s">
        <v>1159</v>
      </c>
      <c r="E96" s="199"/>
      <c r="F96" s="143"/>
      <c r="G96" s="207"/>
      <c r="H96" s="201">
        <f t="shared" si="8"/>
        <v>0</v>
      </c>
      <c r="I96" s="202"/>
      <c r="J96" s="202"/>
      <c r="K96" s="202"/>
      <c r="L96" s="202"/>
      <c r="M96" s="146"/>
      <c r="N96" s="146"/>
      <c r="O96" s="147"/>
      <c r="P96" s="25"/>
    </row>
    <row r="97" spans="1:16" ht="15.75" customHeight="1" hidden="1">
      <c r="A97" s="536"/>
      <c r="B97" s="512"/>
      <c r="C97" s="503"/>
      <c r="D97" s="198" t="s">
        <v>1160</v>
      </c>
      <c r="E97" s="199"/>
      <c r="F97" s="143"/>
      <c r="G97" s="207"/>
      <c r="H97" s="201">
        <f t="shared" si="8"/>
        <v>0</v>
      </c>
      <c r="I97" s="202"/>
      <c r="J97" s="202"/>
      <c r="K97" s="202"/>
      <c r="L97" s="202"/>
      <c r="M97" s="146"/>
      <c r="N97" s="146"/>
      <c r="O97" s="147"/>
      <c r="P97" s="25"/>
    </row>
    <row r="98" spans="1:16" ht="31.5" customHeight="1" hidden="1">
      <c r="A98" s="536"/>
      <c r="B98" s="512"/>
      <c r="C98" s="167" t="s">
        <v>1161</v>
      </c>
      <c r="D98" s="208" t="s">
        <v>756</v>
      </c>
      <c r="E98" s="142"/>
      <c r="F98" s="143"/>
      <c r="G98" s="172"/>
      <c r="H98" s="144">
        <f t="shared" si="8"/>
        <v>0</v>
      </c>
      <c r="I98" s="145"/>
      <c r="J98" s="145"/>
      <c r="K98" s="145"/>
      <c r="L98" s="145"/>
      <c r="M98" s="146"/>
      <c r="N98" s="146"/>
      <c r="O98" s="147"/>
      <c r="P98" s="25"/>
    </row>
    <row r="99" spans="1:16" ht="31.5" customHeight="1" hidden="1">
      <c r="A99" s="536"/>
      <c r="B99" s="512"/>
      <c r="C99" s="167" t="s">
        <v>757</v>
      </c>
      <c r="D99" s="208" t="s">
        <v>1162</v>
      </c>
      <c r="E99" s="142"/>
      <c r="F99" s="143"/>
      <c r="G99" s="172"/>
      <c r="H99" s="144">
        <f t="shared" si="8"/>
        <v>0</v>
      </c>
      <c r="I99" s="145"/>
      <c r="J99" s="145"/>
      <c r="K99" s="145"/>
      <c r="L99" s="145"/>
      <c r="M99" s="146"/>
      <c r="N99" s="146"/>
      <c r="O99" s="147"/>
      <c r="P99" s="25"/>
    </row>
    <row r="100" spans="1:16" ht="15.75" customHeight="1" hidden="1">
      <c r="A100" s="536"/>
      <c r="B100" s="512"/>
      <c r="C100" s="167" t="s">
        <v>1163</v>
      </c>
      <c r="D100" s="208" t="s">
        <v>1164</v>
      </c>
      <c r="E100" s="142"/>
      <c r="F100" s="143"/>
      <c r="G100" s="172"/>
      <c r="H100" s="144">
        <f t="shared" si="8"/>
        <v>0</v>
      </c>
      <c r="I100" s="209"/>
      <c r="J100" s="145"/>
      <c r="K100" s="145"/>
      <c r="L100" s="209"/>
      <c r="M100" s="146"/>
      <c r="N100" s="146"/>
      <c r="O100" s="147"/>
      <c r="P100" s="25"/>
    </row>
    <row r="101" spans="1:16" ht="15.75" customHeight="1" hidden="1">
      <c r="A101" s="536"/>
      <c r="B101" s="512"/>
      <c r="C101" s="167" t="s">
        <v>1165</v>
      </c>
      <c r="D101" s="210" t="s">
        <v>1166</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1167</v>
      </c>
      <c r="D102" s="13" t="s">
        <v>1168</v>
      </c>
      <c r="E102" s="142"/>
      <c r="F102" s="143"/>
      <c r="G102" s="142"/>
      <c r="H102" s="144">
        <f t="shared" si="8"/>
        <v>0</v>
      </c>
      <c r="I102" s="145"/>
      <c r="J102" s="145"/>
      <c r="K102" s="145"/>
      <c r="L102" s="49"/>
      <c r="M102" s="146"/>
      <c r="N102" s="146"/>
      <c r="O102" s="147"/>
      <c r="P102" s="25"/>
    </row>
    <row r="103" spans="1:16" ht="15.75">
      <c r="A103" s="536"/>
      <c r="B103" s="512"/>
      <c r="C103" s="501" t="s">
        <v>1169</v>
      </c>
      <c r="D103" s="13" t="s">
        <v>399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400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401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402</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403</v>
      </c>
      <c r="E107" s="199"/>
      <c r="F107" s="200"/>
      <c r="G107" s="199"/>
      <c r="H107" s="201">
        <f t="shared" si="8"/>
        <v>0</v>
      </c>
      <c r="I107" s="202"/>
      <c r="J107" s="202"/>
      <c r="K107" s="202"/>
      <c r="L107" s="202"/>
      <c r="M107" s="203"/>
      <c r="N107" s="203"/>
      <c r="O107" s="203"/>
      <c r="P107" s="25"/>
    </row>
    <row r="108" spans="1:16" ht="15.75">
      <c r="A108" s="536"/>
      <c r="B108" s="512"/>
      <c r="C108" s="502"/>
      <c r="D108" s="346" t="s">
        <v>1252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1253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1254</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1255</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1256</v>
      </c>
      <c r="D112" s="13" t="s">
        <v>1257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1258</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1189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1190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1191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1192</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1193</v>
      </c>
      <c r="D118" s="13" t="s">
        <v>333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334</v>
      </c>
      <c r="D119" s="13" t="s">
        <v>335</v>
      </c>
      <c r="E119" s="142"/>
      <c r="F119" s="143"/>
      <c r="G119" s="142"/>
      <c r="H119" s="144">
        <f t="shared" si="13"/>
        <v>0</v>
      </c>
      <c r="I119" s="145"/>
      <c r="J119" s="145"/>
      <c r="K119" s="145"/>
      <c r="L119" s="49"/>
      <c r="M119" s="146"/>
      <c r="N119" s="146"/>
      <c r="O119" s="147"/>
      <c r="P119" s="25"/>
    </row>
    <row r="120" spans="1:16" ht="15.75" customHeight="1" hidden="1">
      <c r="A120" s="536"/>
      <c r="B120" s="512"/>
      <c r="C120" s="167" t="s">
        <v>336</v>
      </c>
      <c r="D120" s="13" t="s">
        <v>337</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338</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1274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1275</v>
      </c>
      <c r="E123" s="142"/>
      <c r="F123" s="143"/>
      <c r="G123" s="142"/>
      <c r="H123" s="144">
        <f t="shared" si="13"/>
        <v>0</v>
      </c>
      <c r="I123" s="145"/>
      <c r="J123" s="145"/>
      <c r="K123" s="145"/>
      <c r="L123" s="49"/>
      <c r="M123" s="146"/>
      <c r="N123" s="146"/>
      <c r="O123" s="147"/>
      <c r="P123" s="25"/>
    </row>
    <row r="124" spans="1:16" ht="15.75" hidden="1">
      <c r="A124" s="536"/>
      <c r="B124" s="512"/>
      <c r="C124" s="167"/>
      <c r="D124" s="13" t="s">
        <v>1276</v>
      </c>
      <c r="E124" s="142"/>
      <c r="F124" s="143"/>
      <c r="G124" s="142"/>
      <c r="H124" s="144">
        <f t="shared" si="13"/>
        <v>0</v>
      </c>
      <c r="I124" s="145"/>
      <c r="J124" s="145"/>
      <c r="K124" s="145"/>
      <c r="L124" s="49"/>
      <c r="M124" s="146"/>
      <c r="N124" s="146"/>
      <c r="O124" s="147"/>
      <c r="P124" s="25"/>
    </row>
    <row r="125" spans="1:16" ht="15.75" hidden="1">
      <c r="A125" s="536"/>
      <c r="B125" s="512"/>
      <c r="C125" s="167"/>
      <c r="D125" s="13" t="s">
        <v>1277</v>
      </c>
      <c r="E125" s="142"/>
      <c r="F125" s="143"/>
      <c r="G125" s="142"/>
      <c r="H125" s="144">
        <f t="shared" si="13"/>
        <v>0</v>
      </c>
      <c r="I125" s="145"/>
      <c r="J125" s="145"/>
      <c r="K125" s="145"/>
      <c r="L125" s="49"/>
      <c r="M125" s="146"/>
      <c r="N125" s="146"/>
      <c r="O125" s="147"/>
      <c r="P125" s="25"/>
    </row>
    <row r="126" spans="1:16" ht="15.75" hidden="1">
      <c r="A126" s="536"/>
      <c r="B126" s="512"/>
      <c r="C126" s="167"/>
      <c r="D126" s="13" t="s">
        <v>439</v>
      </c>
      <c r="E126" s="142"/>
      <c r="F126" s="143"/>
      <c r="G126" s="142"/>
      <c r="H126" s="144">
        <f t="shared" si="13"/>
        <v>0</v>
      </c>
      <c r="I126" s="145"/>
      <c r="J126" s="145"/>
      <c r="K126" s="145"/>
      <c r="L126" s="49"/>
      <c r="M126" s="146"/>
      <c r="N126" s="146"/>
      <c r="O126" s="147"/>
      <c r="P126" s="25"/>
    </row>
    <row r="127" spans="1:16" ht="31.5" hidden="1">
      <c r="A127" s="536"/>
      <c r="B127" s="512"/>
      <c r="C127" s="167"/>
      <c r="D127" s="211" t="s">
        <v>440</v>
      </c>
      <c r="E127" s="142"/>
      <c r="F127" s="143"/>
      <c r="G127" s="142"/>
      <c r="H127" s="144">
        <f t="shared" si="13"/>
        <v>0</v>
      </c>
      <c r="I127" s="145"/>
      <c r="J127" s="145"/>
      <c r="K127" s="145"/>
      <c r="L127" s="49"/>
      <c r="M127" s="146"/>
      <c r="N127" s="146"/>
      <c r="O127" s="147"/>
      <c r="P127" s="25"/>
    </row>
    <row r="128" spans="1:16" ht="31.5" hidden="1">
      <c r="A128" s="536"/>
      <c r="B128" s="512"/>
      <c r="C128" s="167"/>
      <c r="D128" s="211" t="s">
        <v>441</v>
      </c>
      <c r="E128" s="142"/>
      <c r="F128" s="143"/>
      <c r="G128" s="142"/>
      <c r="H128" s="144">
        <f t="shared" si="13"/>
        <v>0</v>
      </c>
      <c r="I128" s="145"/>
      <c r="J128" s="145"/>
      <c r="K128" s="145"/>
      <c r="L128" s="49"/>
      <c r="M128" s="146"/>
      <c r="N128" s="146"/>
      <c r="O128" s="147"/>
      <c r="P128" s="25"/>
    </row>
    <row r="129" spans="1:16" ht="31.5" hidden="1">
      <c r="A129" s="536"/>
      <c r="B129" s="512"/>
      <c r="C129" s="167"/>
      <c r="D129" s="13" t="s">
        <v>442</v>
      </c>
      <c r="E129" s="142"/>
      <c r="F129" s="143"/>
      <c r="G129" s="142"/>
      <c r="H129" s="144">
        <f t="shared" si="13"/>
        <v>0</v>
      </c>
      <c r="I129" s="145"/>
      <c r="J129" s="145"/>
      <c r="K129" s="145"/>
      <c r="L129" s="49"/>
      <c r="M129" s="146"/>
      <c r="N129" s="146"/>
      <c r="O129" s="147"/>
      <c r="P129" s="25"/>
    </row>
    <row r="130" spans="1:16" ht="15.75" hidden="1">
      <c r="A130" s="536"/>
      <c r="B130" s="512"/>
      <c r="C130" s="167"/>
      <c r="D130" s="141" t="s">
        <v>377</v>
      </c>
      <c r="E130" s="142"/>
      <c r="F130" s="143"/>
      <c r="G130" s="142"/>
      <c r="H130" s="144">
        <f t="shared" si="13"/>
        <v>0</v>
      </c>
      <c r="I130" s="145"/>
      <c r="J130" s="145"/>
      <c r="K130" s="145"/>
      <c r="L130" s="49"/>
      <c r="M130" s="146"/>
      <c r="N130" s="146"/>
      <c r="O130" s="147"/>
      <c r="P130" s="25"/>
    </row>
    <row r="131" spans="1:16" ht="15.75" hidden="1">
      <c r="A131" s="536"/>
      <c r="B131" s="512"/>
      <c r="C131" s="167"/>
      <c r="D131" s="141" t="s">
        <v>1574</v>
      </c>
      <c r="E131" s="142"/>
      <c r="F131" s="143"/>
      <c r="G131" s="142"/>
      <c r="H131" s="144">
        <f t="shared" si="13"/>
        <v>0</v>
      </c>
      <c r="I131" s="145"/>
      <c r="J131" s="145"/>
      <c r="K131" s="145"/>
      <c r="L131" s="49"/>
      <c r="M131" s="146"/>
      <c r="N131" s="146"/>
      <c r="O131" s="147"/>
      <c r="P131" s="25"/>
    </row>
    <row r="132" spans="1:16" ht="15.75" hidden="1">
      <c r="A132" s="536"/>
      <c r="B132" s="512"/>
      <c r="C132" s="167"/>
      <c r="D132" s="13" t="s">
        <v>1575</v>
      </c>
      <c r="E132" s="142"/>
      <c r="F132" s="143"/>
      <c r="G132" s="142"/>
      <c r="H132" s="144">
        <f t="shared" si="13"/>
        <v>0</v>
      </c>
      <c r="I132" s="145"/>
      <c r="J132" s="145"/>
      <c r="K132" s="145"/>
      <c r="L132" s="49"/>
      <c r="M132" s="146"/>
      <c r="N132" s="146"/>
      <c r="O132" s="147"/>
      <c r="P132" s="25"/>
    </row>
    <row r="133" spans="1:16" ht="15.75" hidden="1">
      <c r="A133" s="536"/>
      <c r="B133" s="512"/>
      <c r="C133" s="167"/>
      <c r="D133" s="13" t="s">
        <v>1576</v>
      </c>
      <c r="E133" s="142"/>
      <c r="F133" s="143"/>
      <c r="G133" s="142"/>
      <c r="H133" s="144">
        <f t="shared" si="13"/>
        <v>0</v>
      </c>
      <c r="I133" s="145"/>
      <c r="J133" s="145"/>
      <c r="K133" s="145"/>
      <c r="L133" s="49"/>
      <c r="M133" s="146"/>
      <c r="N133" s="146"/>
      <c r="O133" s="147"/>
      <c r="P133" s="25"/>
    </row>
    <row r="134" spans="1:16" ht="15.75" hidden="1">
      <c r="A134" s="536"/>
      <c r="B134" s="512"/>
      <c r="C134" s="167"/>
      <c r="D134" s="13" t="s">
        <v>1577</v>
      </c>
      <c r="E134" s="142"/>
      <c r="F134" s="143"/>
      <c r="G134" s="142"/>
      <c r="H134" s="144">
        <f t="shared" si="13"/>
        <v>0</v>
      </c>
      <c r="I134" s="145"/>
      <c r="J134" s="145"/>
      <c r="K134" s="145"/>
      <c r="L134" s="49"/>
      <c r="M134" s="146"/>
      <c r="N134" s="146"/>
      <c r="O134" s="147"/>
      <c r="P134" s="25"/>
    </row>
    <row r="135" spans="1:16" ht="15.75" hidden="1">
      <c r="A135" s="536"/>
      <c r="B135" s="512"/>
      <c r="C135" s="167"/>
      <c r="D135" s="13" t="s">
        <v>1210</v>
      </c>
      <c r="E135" s="142"/>
      <c r="F135" s="143"/>
      <c r="G135" s="142"/>
      <c r="H135" s="144">
        <f t="shared" si="13"/>
        <v>0</v>
      </c>
      <c r="I135" s="145"/>
      <c r="J135" s="145"/>
      <c r="K135" s="145"/>
      <c r="L135" s="49"/>
      <c r="M135" s="146"/>
      <c r="N135" s="146"/>
      <c r="O135" s="147"/>
      <c r="P135" s="25"/>
    </row>
    <row r="136" spans="1:16" ht="15.75" hidden="1">
      <c r="A136" s="536"/>
      <c r="B136" s="512"/>
      <c r="C136" s="167"/>
      <c r="D136" s="13" t="s">
        <v>1211</v>
      </c>
      <c r="E136" s="142"/>
      <c r="F136" s="143"/>
      <c r="G136" s="142"/>
      <c r="H136" s="144">
        <f t="shared" si="13"/>
        <v>0</v>
      </c>
      <c r="I136" s="145"/>
      <c r="J136" s="145"/>
      <c r="K136" s="145"/>
      <c r="L136" s="49"/>
      <c r="M136" s="146"/>
      <c r="N136" s="146"/>
      <c r="O136" s="147"/>
      <c r="P136" s="25"/>
    </row>
    <row r="137" spans="1:16" ht="15.75" hidden="1">
      <c r="A137" s="536"/>
      <c r="B137" s="512"/>
      <c r="C137" s="167"/>
      <c r="D137" s="13" t="s">
        <v>385</v>
      </c>
      <c r="E137" s="142"/>
      <c r="F137" s="143"/>
      <c r="G137" s="142"/>
      <c r="H137" s="144">
        <f t="shared" si="13"/>
        <v>0</v>
      </c>
      <c r="I137" s="145"/>
      <c r="J137" s="145"/>
      <c r="K137" s="145"/>
      <c r="L137" s="49"/>
      <c r="M137" s="146"/>
      <c r="N137" s="146"/>
      <c r="O137" s="147"/>
      <c r="P137" s="25"/>
    </row>
    <row r="138" spans="1:16" ht="15.75" hidden="1">
      <c r="A138" s="536"/>
      <c r="B138" s="512"/>
      <c r="C138" s="167"/>
      <c r="D138" s="13" t="s">
        <v>1635</v>
      </c>
      <c r="E138" s="142"/>
      <c r="F138" s="143"/>
      <c r="G138" s="142"/>
      <c r="H138" s="144">
        <f t="shared" si="13"/>
        <v>0</v>
      </c>
      <c r="I138" s="145"/>
      <c r="J138" s="145"/>
      <c r="K138" s="145"/>
      <c r="L138" s="49"/>
      <c r="M138" s="146"/>
      <c r="N138" s="146"/>
      <c r="O138" s="147"/>
      <c r="P138" s="25"/>
    </row>
    <row r="139" spans="1:16" ht="31.5" hidden="1">
      <c r="A139" s="536"/>
      <c r="B139" s="512"/>
      <c r="C139" s="167"/>
      <c r="D139" s="13" t="s">
        <v>1081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987</v>
      </c>
      <c r="B147" s="538" t="s">
        <v>1636</v>
      </c>
      <c r="C147" s="195"/>
      <c r="D147" s="136" t="s">
        <v>1637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411</v>
      </c>
      <c r="D148" s="141" t="s">
        <v>1638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409</v>
      </c>
      <c r="D149" s="141" t="s">
        <v>1104</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1256</v>
      </c>
      <c r="D150" s="141" t="s">
        <v>1639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1640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771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772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773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774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775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776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777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778</v>
      </c>
      <c r="D159" s="141" t="s">
        <v>779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780</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781</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782</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783</v>
      </c>
      <c r="E163" s="199"/>
      <c r="F163" s="143"/>
      <c r="G163" s="199"/>
      <c r="H163" s="201">
        <f t="shared" si="15"/>
        <v>0</v>
      </c>
      <c r="I163" s="202"/>
      <c r="J163" s="202"/>
      <c r="K163" s="202"/>
      <c r="L163" s="202"/>
      <c r="M163" s="203"/>
      <c r="N163" s="203"/>
      <c r="O163" s="204"/>
      <c r="P163" s="25"/>
    </row>
    <row r="164" spans="1:16" ht="47.25" customHeight="1" hidden="1">
      <c r="A164" s="536"/>
      <c r="B164" s="512"/>
      <c r="C164" s="212" t="s">
        <v>1603</v>
      </c>
      <c r="D164" s="208" t="s">
        <v>820</v>
      </c>
      <c r="E164" s="142"/>
      <c r="F164" s="143"/>
      <c r="G164" s="142"/>
      <c r="H164" s="144">
        <f t="shared" si="15"/>
        <v>0</v>
      </c>
      <c r="I164" s="145"/>
      <c r="J164" s="145"/>
      <c r="K164" s="145"/>
      <c r="L164" s="145"/>
      <c r="M164" s="146"/>
      <c r="N164" s="146"/>
      <c r="O164" s="147"/>
      <c r="P164" s="25"/>
    </row>
    <row r="165" spans="1:16" ht="49.5" customHeight="1">
      <c r="A165" s="536"/>
      <c r="B165" s="512"/>
      <c r="C165" s="212" t="s">
        <v>821</v>
      </c>
      <c r="D165" s="208" t="s">
        <v>822</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823</v>
      </c>
      <c r="D166" s="208" t="s">
        <v>824</v>
      </c>
      <c r="E166" s="142"/>
      <c r="F166" s="143"/>
      <c r="G166" s="142"/>
      <c r="H166" s="144">
        <f t="shared" si="15"/>
        <v>43975.12</v>
      </c>
      <c r="I166" s="145"/>
      <c r="J166" s="145"/>
      <c r="K166" s="145"/>
      <c r="L166" s="145">
        <v>43975.12</v>
      </c>
      <c r="M166" s="146"/>
      <c r="N166" s="146"/>
      <c r="O166" s="147"/>
      <c r="P166" s="25"/>
    </row>
    <row r="167" spans="1:16" ht="15.75">
      <c r="A167" s="536"/>
      <c r="B167" s="512"/>
      <c r="C167" s="533" t="s">
        <v>825</v>
      </c>
      <c r="D167" s="208" t="s">
        <v>826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827</v>
      </c>
      <c r="E168" s="199"/>
      <c r="F168" s="143"/>
      <c r="G168" s="199"/>
      <c r="H168" s="201">
        <f t="shared" si="15"/>
        <v>30000</v>
      </c>
      <c r="I168" s="202"/>
      <c r="J168" s="202"/>
      <c r="K168" s="202"/>
      <c r="L168" s="202">
        <v>30000</v>
      </c>
      <c r="M168" s="203"/>
      <c r="N168" s="203"/>
      <c r="O168" s="204"/>
      <c r="P168" s="25"/>
    </row>
    <row r="169" spans="1:16" ht="15.75">
      <c r="A169" s="536"/>
      <c r="B169" s="512"/>
      <c r="C169" s="541"/>
      <c r="D169" s="348" t="s">
        <v>828</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829</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830</v>
      </c>
      <c r="D171" s="208" t="s">
        <v>14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15</v>
      </c>
      <c r="D172" s="208" t="s">
        <v>386</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387</v>
      </c>
      <c r="D173" s="208" t="s">
        <v>352</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754</v>
      </c>
      <c r="D174" s="208" t="s">
        <v>1578</v>
      </c>
      <c r="E174" s="142"/>
      <c r="F174" s="143"/>
      <c r="G174" s="142"/>
      <c r="H174" s="144">
        <f t="shared" si="15"/>
        <v>0</v>
      </c>
      <c r="I174" s="145"/>
      <c r="J174" s="145"/>
      <c r="K174" s="145"/>
      <c r="L174" s="145"/>
      <c r="M174" s="146"/>
      <c r="N174" s="146"/>
      <c r="O174" s="147"/>
      <c r="P174" s="25"/>
    </row>
    <row r="175" spans="1:16" ht="47.25" customHeight="1" hidden="1">
      <c r="A175" s="536"/>
      <c r="B175" s="512"/>
      <c r="C175" s="212" t="s">
        <v>1579</v>
      </c>
      <c r="D175" s="208" t="s">
        <v>1644</v>
      </c>
      <c r="E175" s="142"/>
      <c r="F175" s="143"/>
      <c r="G175" s="142"/>
      <c r="H175" s="144">
        <f t="shared" si="15"/>
        <v>0</v>
      </c>
      <c r="I175" s="145"/>
      <c r="J175" s="145"/>
      <c r="K175" s="145"/>
      <c r="L175" s="145"/>
      <c r="M175" s="146"/>
      <c r="N175" s="146"/>
      <c r="O175" s="147"/>
      <c r="P175" s="25"/>
    </row>
    <row r="176" spans="1:16" ht="15.75" customHeight="1" hidden="1">
      <c r="A176" s="536"/>
      <c r="B176" s="512"/>
      <c r="C176" s="533" t="s">
        <v>1645</v>
      </c>
      <c r="D176" s="208" t="s">
        <v>1646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1647</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1648</v>
      </c>
      <c r="E178" s="199"/>
      <c r="F178" s="143"/>
      <c r="G178" s="199"/>
      <c r="H178" s="201">
        <f t="shared" si="20"/>
        <v>0</v>
      </c>
      <c r="I178" s="202"/>
      <c r="J178" s="202"/>
      <c r="K178" s="202"/>
      <c r="L178" s="202"/>
      <c r="M178" s="203"/>
      <c r="N178" s="203"/>
      <c r="O178" s="204"/>
      <c r="P178" s="25"/>
    </row>
    <row r="179" spans="1:16" ht="31.5">
      <c r="A179" s="536"/>
      <c r="B179" s="512"/>
      <c r="C179" s="212" t="s">
        <v>388</v>
      </c>
      <c r="D179" s="208" t="s">
        <v>389</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390</v>
      </c>
      <c r="D180" s="208" t="s">
        <v>391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392</v>
      </c>
      <c r="D181" s="208" t="s">
        <v>1604</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1605</v>
      </c>
      <c r="D182" s="208" t="s">
        <v>724</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725</v>
      </c>
      <c r="D183" s="141" t="s">
        <v>726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727</v>
      </c>
      <c r="D184" s="141" t="s">
        <v>1188</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353</v>
      </c>
      <c r="D185" s="141" t="s">
        <v>354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355</v>
      </c>
      <c r="D186" s="141" t="s">
        <v>356</v>
      </c>
      <c r="E186" s="142"/>
      <c r="F186" s="143"/>
      <c r="G186" s="142"/>
      <c r="H186" s="144">
        <f t="shared" si="20"/>
        <v>0</v>
      </c>
      <c r="I186" s="145"/>
      <c r="J186" s="145"/>
      <c r="K186" s="145"/>
      <c r="L186" s="145"/>
      <c r="M186" s="146"/>
      <c r="N186" s="146"/>
      <c r="O186" s="147"/>
      <c r="P186" s="25"/>
    </row>
    <row r="187" spans="1:16" ht="15.75">
      <c r="A187" s="536"/>
      <c r="B187" s="512"/>
      <c r="C187" s="533" t="s">
        <v>1169</v>
      </c>
      <c r="D187" s="141" t="s">
        <v>357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358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359</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360</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361</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362</v>
      </c>
      <c r="D192" s="141" t="s">
        <v>363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364</v>
      </c>
      <c r="D193" s="141" t="s">
        <v>365</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366</v>
      </c>
      <c r="D194" s="141" t="s">
        <v>817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818</v>
      </c>
      <c r="D195" s="141" t="s">
        <v>420</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421</v>
      </c>
      <c r="D196" s="141" t="s">
        <v>422</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423</v>
      </c>
      <c r="D197" s="141" t="s">
        <v>157</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158</v>
      </c>
      <c r="D198" s="141" t="s">
        <v>159</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160</v>
      </c>
      <c r="D199" s="141" t="s">
        <v>161</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162</v>
      </c>
      <c r="D200" s="141" t="s">
        <v>163</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91</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92</v>
      </c>
      <c r="D202" s="141" t="s">
        <v>93</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94</v>
      </c>
      <c r="D203" s="141" t="s">
        <v>95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96</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97</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98</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99</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100</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101</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102</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103</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104</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105</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106</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491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492</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493</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494</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495</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496</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497</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498</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438</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0</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2</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3</v>
      </c>
      <c r="D227" s="141" t="s">
        <v>4</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5</v>
      </c>
      <c r="E228" s="142"/>
      <c r="F228" s="143"/>
      <c r="G228" s="142"/>
      <c r="H228" s="144">
        <f t="shared" si="26"/>
        <v>0</v>
      </c>
      <c r="I228" s="145"/>
      <c r="J228" s="145"/>
      <c r="K228" s="145"/>
      <c r="L228" s="145"/>
      <c r="M228" s="146"/>
      <c r="N228" s="146"/>
      <c r="O228" s="147"/>
      <c r="P228" s="25"/>
    </row>
    <row r="229" spans="1:16" ht="16.5" customHeight="1">
      <c r="A229" s="536"/>
      <c r="B229" s="512"/>
      <c r="C229" s="212"/>
      <c r="D229" s="141" t="s">
        <v>444</v>
      </c>
      <c r="E229" s="142"/>
      <c r="F229" s="143"/>
      <c r="G229" s="142"/>
      <c r="H229" s="144">
        <f t="shared" si="26"/>
        <v>5500</v>
      </c>
      <c r="I229" s="145"/>
      <c r="J229" s="145"/>
      <c r="K229" s="145"/>
      <c r="L229" s="145">
        <v>5500</v>
      </c>
      <c r="M229" s="146"/>
      <c r="N229" s="146"/>
      <c r="O229" s="147"/>
      <c r="P229" s="25"/>
    </row>
    <row r="230" spans="1:16" ht="31.5">
      <c r="A230" s="536"/>
      <c r="B230" s="512"/>
      <c r="C230" s="212"/>
      <c r="D230" s="141" t="s">
        <v>445</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446</v>
      </c>
      <c r="E231" s="142"/>
      <c r="F231" s="143"/>
      <c r="G231" s="142"/>
      <c r="H231" s="144">
        <f t="shared" si="26"/>
        <v>0</v>
      </c>
      <c r="I231" s="209"/>
      <c r="J231" s="145"/>
      <c r="K231" s="145"/>
      <c r="L231" s="209"/>
      <c r="M231" s="146"/>
      <c r="N231" s="146"/>
      <c r="O231" s="147"/>
      <c r="P231" s="25"/>
    </row>
    <row r="232" spans="1:16" ht="31.5" hidden="1">
      <c r="A232" s="536"/>
      <c r="B232" s="512"/>
      <c r="C232" s="212"/>
      <c r="D232" s="141" t="s">
        <v>447</v>
      </c>
      <c r="E232" s="142"/>
      <c r="F232" s="143"/>
      <c r="G232" s="142"/>
      <c r="H232" s="144">
        <f t="shared" si="26"/>
        <v>0</v>
      </c>
      <c r="I232" s="209"/>
      <c r="J232" s="145"/>
      <c r="K232" s="145"/>
      <c r="L232" s="209"/>
      <c r="M232" s="146"/>
      <c r="N232" s="146"/>
      <c r="O232" s="147"/>
      <c r="P232" s="25"/>
    </row>
    <row r="233" spans="1:16" ht="15.75" hidden="1">
      <c r="A233" s="536"/>
      <c r="B233" s="512"/>
      <c r="C233" s="212"/>
      <c r="D233" s="141" t="s">
        <v>448</v>
      </c>
      <c r="E233" s="142"/>
      <c r="F233" s="143"/>
      <c r="G233" s="142"/>
      <c r="H233" s="144">
        <f t="shared" si="26"/>
        <v>0</v>
      </c>
      <c r="I233" s="209"/>
      <c r="J233" s="145"/>
      <c r="K233" s="145"/>
      <c r="L233" s="209"/>
      <c r="M233" s="146"/>
      <c r="N233" s="146"/>
      <c r="O233" s="147"/>
      <c r="P233" s="25"/>
    </row>
    <row r="234" spans="1:16" ht="63" hidden="1">
      <c r="A234" s="536"/>
      <c r="B234" s="512"/>
      <c r="C234" s="212"/>
      <c r="D234" s="141" t="s">
        <v>885</v>
      </c>
      <c r="E234" s="142"/>
      <c r="F234" s="143"/>
      <c r="G234" s="142"/>
      <c r="H234" s="144">
        <f t="shared" si="26"/>
        <v>0</v>
      </c>
      <c r="I234" s="209"/>
      <c r="J234" s="145"/>
      <c r="K234" s="145"/>
      <c r="L234" s="209"/>
      <c r="M234" s="146"/>
      <c r="N234" s="146"/>
      <c r="O234" s="147"/>
      <c r="P234" s="25"/>
    </row>
    <row r="235" spans="1:16" ht="47.25" hidden="1">
      <c r="A235" s="536"/>
      <c r="B235" s="512"/>
      <c r="C235" s="212"/>
      <c r="D235" s="141" t="s">
        <v>1263</v>
      </c>
      <c r="E235" s="142"/>
      <c r="F235" s="143"/>
      <c r="G235" s="142"/>
      <c r="H235" s="144">
        <f t="shared" si="26"/>
        <v>0</v>
      </c>
      <c r="I235" s="209"/>
      <c r="J235" s="145"/>
      <c r="K235" s="145"/>
      <c r="L235" s="209"/>
      <c r="M235" s="146"/>
      <c r="N235" s="146"/>
      <c r="O235" s="147"/>
      <c r="P235" s="25"/>
    </row>
    <row r="236" spans="1:16" ht="15.75" hidden="1">
      <c r="A236" s="536"/>
      <c r="B236" s="512"/>
      <c r="C236" s="212"/>
      <c r="D236" s="141" t="s">
        <v>1264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30</v>
      </c>
      <c r="E237" s="199"/>
      <c r="F237" s="200"/>
      <c r="G237" s="199"/>
      <c r="H237" s="201">
        <f t="shared" si="26"/>
        <v>0</v>
      </c>
      <c r="I237" s="214"/>
      <c r="J237" s="202"/>
      <c r="K237" s="202"/>
      <c r="L237" s="209"/>
      <c r="M237" s="146"/>
      <c r="N237" s="146"/>
      <c r="O237" s="147"/>
      <c r="P237" s="25"/>
    </row>
    <row r="238" spans="1:16" ht="15.75" hidden="1">
      <c r="A238" s="536"/>
      <c r="B238" s="512"/>
      <c r="C238" s="212"/>
      <c r="D238" s="198" t="s">
        <v>31</v>
      </c>
      <c r="E238" s="199"/>
      <c r="F238" s="200"/>
      <c r="G238" s="199"/>
      <c r="H238" s="201">
        <f t="shared" si="26"/>
        <v>0</v>
      </c>
      <c r="I238" s="214"/>
      <c r="J238" s="202"/>
      <c r="K238" s="202"/>
      <c r="L238" s="209"/>
      <c r="M238" s="146"/>
      <c r="N238" s="146"/>
      <c r="O238" s="147"/>
      <c r="P238" s="25"/>
    </row>
    <row r="239" spans="1:16" ht="15.75" hidden="1">
      <c r="A239" s="536"/>
      <c r="B239" s="512"/>
      <c r="C239" s="212"/>
      <c r="D239" s="198" t="s">
        <v>1240</v>
      </c>
      <c r="E239" s="199"/>
      <c r="F239" s="200"/>
      <c r="G239" s="199"/>
      <c r="H239" s="201">
        <f t="shared" si="26"/>
        <v>0</v>
      </c>
      <c r="I239" s="214"/>
      <c r="J239" s="202"/>
      <c r="K239" s="202"/>
      <c r="L239" s="209"/>
      <c r="M239" s="146"/>
      <c r="N239" s="146"/>
      <c r="O239" s="147"/>
      <c r="P239" s="25"/>
    </row>
    <row r="240" spans="1:16" ht="15.75" hidden="1">
      <c r="A240" s="536"/>
      <c r="B240" s="512"/>
      <c r="C240" s="212"/>
      <c r="D240" s="198" t="s">
        <v>1241</v>
      </c>
      <c r="E240" s="199"/>
      <c r="F240" s="200"/>
      <c r="G240" s="199"/>
      <c r="H240" s="201">
        <f t="shared" si="26"/>
        <v>0</v>
      </c>
      <c r="I240" s="214"/>
      <c r="J240" s="202"/>
      <c r="K240" s="202"/>
      <c r="L240" s="209"/>
      <c r="M240" s="146"/>
      <c r="N240" s="146"/>
      <c r="O240" s="147"/>
      <c r="P240" s="25"/>
    </row>
    <row r="241" spans="1:16" ht="15.75" hidden="1">
      <c r="A241" s="536"/>
      <c r="B241" s="512"/>
      <c r="C241" s="212"/>
      <c r="D241" s="198" t="s">
        <v>1242</v>
      </c>
      <c r="E241" s="199"/>
      <c r="F241" s="200"/>
      <c r="G241" s="199"/>
      <c r="H241" s="201">
        <f t="shared" si="26"/>
        <v>0</v>
      </c>
      <c r="I241" s="214"/>
      <c r="J241" s="202"/>
      <c r="K241" s="202"/>
      <c r="L241" s="209"/>
      <c r="M241" s="146"/>
      <c r="N241" s="146"/>
      <c r="O241" s="147"/>
      <c r="P241" s="25"/>
    </row>
    <row r="242" spans="1:16" ht="15.75" hidden="1">
      <c r="A242" s="536"/>
      <c r="B242" s="512"/>
      <c r="C242" s="212"/>
      <c r="D242" s="198" t="s">
        <v>1243</v>
      </c>
      <c r="E242" s="199"/>
      <c r="F242" s="200"/>
      <c r="G242" s="199"/>
      <c r="H242" s="201">
        <f t="shared" si="26"/>
        <v>0</v>
      </c>
      <c r="I242" s="214"/>
      <c r="J242" s="202"/>
      <c r="K242" s="202"/>
      <c r="L242" s="209"/>
      <c r="M242" s="146"/>
      <c r="N242" s="146"/>
      <c r="O242" s="147"/>
      <c r="P242" s="25"/>
    </row>
    <row r="243" spans="1:16" ht="15.75" hidden="1">
      <c r="A243" s="536"/>
      <c r="B243" s="512"/>
      <c r="C243" s="212"/>
      <c r="D243" s="198" t="s">
        <v>1244</v>
      </c>
      <c r="E243" s="199"/>
      <c r="F243" s="200"/>
      <c r="G243" s="199"/>
      <c r="H243" s="201">
        <f t="shared" si="26"/>
        <v>0</v>
      </c>
      <c r="I243" s="214"/>
      <c r="J243" s="202"/>
      <c r="K243" s="202"/>
      <c r="L243" s="209"/>
      <c r="M243" s="146"/>
      <c r="N243" s="146"/>
      <c r="O243" s="147"/>
      <c r="P243" s="25"/>
    </row>
    <row r="244" spans="1:16" ht="15.75" hidden="1">
      <c r="A244" s="536"/>
      <c r="B244" s="512"/>
      <c r="C244" s="212"/>
      <c r="D244" s="198" t="s">
        <v>1245</v>
      </c>
      <c r="E244" s="199"/>
      <c r="F244" s="200"/>
      <c r="G244" s="199"/>
      <c r="H244" s="201">
        <f t="shared" si="26"/>
        <v>0</v>
      </c>
      <c r="I244" s="214"/>
      <c r="J244" s="202"/>
      <c r="K244" s="202"/>
      <c r="L244" s="209"/>
      <c r="M244" s="146"/>
      <c r="N244" s="146"/>
      <c r="O244" s="147"/>
      <c r="P244" s="25"/>
    </row>
    <row r="245" spans="1:16" ht="15.75" hidden="1">
      <c r="A245" s="536"/>
      <c r="B245" s="512"/>
      <c r="C245" s="212"/>
      <c r="D245" s="198" t="s">
        <v>1246</v>
      </c>
      <c r="E245" s="199"/>
      <c r="F245" s="200"/>
      <c r="G245" s="199"/>
      <c r="H245" s="201">
        <f t="shared" si="26"/>
        <v>0</v>
      </c>
      <c r="I245" s="214"/>
      <c r="J245" s="202"/>
      <c r="K245" s="202"/>
      <c r="L245" s="209"/>
      <c r="M245" s="146"/>
      <c r="N245" s="146"/>
      <c r="O245" s="147"/>
      <c r="P245" s="25"/>
    </row>
    <row r="246" spans="1:16" ht="15.75" hidden="1">
      <c r="A246" s="536"/>
      <c r="B246" s="512"/>
      <c r="C246" s="212"/>
      <c r="D246" s="141" t="s">
        <v>1247</v>
      </c>
      <c r="E246" s="142"/>
      <c r="F246" s="143"/>
      <c r="G246" s="142"/>
      <c r="H246" s="144">
        <f t="shared" si="26"/>
        <v>0</v>
      </c>
      <c r="I246" s="209"/>
      <c r="J246" s="145"/>
      <c r="K246" s="145"/>
      <c r="L246" s="209"/>
      <c r="M246" s="146"/>
      <c r="N246" s="146"/>
      <c r="O246" s="147"/>
      <c r="P246" s="25"/>
    </row>
    <row r="247" spans="1:16" ht="31.5" hidden="1">
      <c r="A247" s="536"/>
      <c r="B247" s="512"/>
      <c r="C247" s="212"/>
      <c r="D247" s="141" t="s">
        <v>1649</v>
      </c>
      <c r="E247" s="142"/>
      <c r="F247" s="143"/>
      <c r="G247" s="142"/>
      <c r="H247" s="144">
        <f t="shared" si="26"/>
        <v>0</v>
      </c>
      <c r="I247" s="209"/>
      <c r="J247" s="145"/>
      <c r="K247" s="145"/>
      <c r="L247" s="209"/>
      <c r="M247" s="146"/>
      <c r="N247" s="146"/>
      <c r="O247" s="147"/>
      <c r="P247" s="25"/>
    </row>
    <row r="248" spans="1:16" ht="31.5" hidden="1">
      <c r="A248" s="536"/>
      <c r="B248" s="512"/>
      <c r="C248" s="212"/>
      <c r="D248" s="14" t="s">
        <v>842</v>
      </c>
      <c r="E248" s="142"/>
      <c r="F248" s="143"/>
      <c r="G248" s="142"/>
      <c r="H248" s="144">
        <f t="shared" si="26"/>
        <v>0</v>
      </c>
      <c r="I248" s="209"/>
      <c r="J248" s="145"/>
      <c r="K248" s="145"/>
      <c r="L248" s="209"/>
      <c r="M248" s="146"/>
      <c r="N248" s="146"/>
      <c r="O248" s="147"/>
      <c r="P248" s="25"/>
    </row>
    <row r="249" spans="1:16" ht="31.5" hidden="1">
      <c r="A249" s="536"/>
      <c r="B249" s="512"/>
      <c r="C249" s="212"/>
      <c r="D249" s="14" t="s">
        <v>843</v>
      </c>
      <c r="E249" s="142"/>
      <c r="F249" s="143"/>
      <c r="G249" s="142"/>
      <c r="H249" s="144">
        <f t="shared" si="26"/>
        <v>0</v>
      </c>
      <c r="I249" s="209"/>
      <c r="J249" s="145"/>
      <c r="K249" s="145"/>
      <c r="L249" s="209"/>
      <c r="M249" s="146"/>
      <c r="N249" s="146"/>
      <c r="O249" s="147"/>
      <c r="P249" s="25"/>
    </row>
    <row r="250" spans="1:16" ht="31.5" hidden="1">
      <c r="A250" s="536"/>
      <c r="B250" s="512"/>
      <c r="C250" s="212"/>
      <c r="D250" s="141" t="s">
        <v>405</v>
      </c>
      <c r="E250" s="142"/>
      <c r="F250" s="143"/>
      <c r="G250" s="142"/>
      <c r="H250" s="144">
        <f t="shared" si="26"/>
        <v>0</v>
      </c>
      <c r="I250" s="209"/>
      <c r="J250" s="145"/>
      <c r="K250" s="145"/>
      <c r="L250" s="209"/>
      <c r="M250" s="146"/>
      <c r="N250" s="146"/>
      <c r="O250" s="147"/>
      <c r="P250" s="25"/>
    </row>
    <row r="251" spans="1:16" ht="15.75" hidden="1">
      <c r="A251" s="536"/>
      <c r="B251" s="512"/>
      <c r="C251" s="212"/>
      <c r="D251" s="141" t="s">
        <v>397</v>
      </c>
      <c r="E251" s="142"/>
      <c r="F251" s="143"/>
      <c r="G251" s="142"/>
      <c r="H251" s="144">
        <f t="shared" si="26"/>
        <v>0</v>
      </c>
      <c r="I251" s="209"/>
      <c r="J251" s="145"/>
      <c r="K251" s="145"/>
      <c r="L251" s="209"/>
      <c r="M251" s="146"/>
      <c r="N251" s="146"/>
      <c r="O251" s="147"/>
      <c r="P251" s="25"/>
    </row>
    <row r="252" spans="1:16" ht="15.75" hidden="1">
      <c r="A252" s="536"/>
      <c r="B252" s="512"/>
      <c r="C252" s="212"/>
      <c r="D252" s="141" t="s">
        <v>398</v>
      </c>
      <c r="E252" s="142"/>
      <c r="F252" s="143"/>
      <c r="G252" s="142"/>
      <c r="H252" s="144">
        <f t="shared" si="26"/>
        <v>0</v>
      </c>
      <c r="I252" s="209"/>
      <c r="J252" s="145"/>
      <c r="K252" s="145"/>
      <c r="L252" s="209"/>
      <c r="M252" s="146"/>
      <c r="N252" s="146"/>
      <c r="O252" s="147"/>
      <c r="P252" s="25"/>
    </row>
    <row r="253" spans="1:16" ht="47.25" hidden="1">
      <c r="A253" s="536"/>
      <c r="B253" s="512"/>
      <c r="C253" s="212"/>
      <c r="D253" s="141" t="s">
        <v>1232</v>
      </c>
      <c r="E253" s="142"/>
      <c r="F253" s="143"/>
      <c r="G253" s="142"/>
      <c r="H253" s="144">
        <f t="shared" si="26"/>
        <v>0</v>
      </c>
      <c r="I253" s="209"/>
      <c r="J253" s="145"/>
      <c r="K253" s="145"/>
      <c r="L253" s="209"/>
      <c r="M253" s="146"/>
      <c r="N253" s="146"/>
      <c r="O253" s="147"/>
      <c r="P253" s="25"/>
    </row>
    <row r="254" spans="1:16" ht="15.75" hidden="1">
      <c r="A254" s="536"/>
      <c r="B254" s="512"/>
      <c r="C254" s="212"/>
      <c r="D254" s="141" t="s">
        <v>1233</v>
      </c>
      <c r="E254" s="142"/>
      <c r="F254" s="143"/>
      <c r="G254" s="142"/>
      <c r="H254" s="144">
        <f t="shared" si="26"/>
        <v>0</v>
      </c>
      <c r="I254" s="209"/>
      <c r="J254" s="145"/>
      <c r="K254" s="145"/>
      <c r="L254" s="209"/>
      <c r="M254" s="146"/>
      <c r="N254" s="146"/>
      <c r="O254" s="147"/>
      <c r="P254" s="25"/>
    </row>
    <row r="255" spans="1:16" ht="15.75" hidden="1">
      <c r="A255" s="536"/>
      <c r="B255" s="512"/>
      <c r="C255" s="212"/>
      <c r="D255" s="141" t="s">
        <v>1234</v>
      </c>
      <c r="E255" s="142"/>
      <c r="F255" s="143"/>
      <c r="G255" s="142"/>
      <c r="H255" s="144">
        <f t="shared" si="26"/>
        <v>0</v>
      </c>
      <c r="I255" s="209"/>
      <c r="J255" s="145"/>
      <c r="K255" s="145"/>
      <c r="L255" s="209"/>
      <c r="M255" s="146"/>
      <c r="N255" s="146"/>
      <c r="O255" s="147"/>
      <c r="P255" s="25"/>
    </row>
    <row r="256" spans="1:16" ht="15.75" hidden="1">
      <c r="A256" s="536"/>
      <c r="B256" s="512"/>
      <c r="C256" s="212"/>
      <c r="D256" s="141" t="s">
        <v>1235</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1236</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480</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488</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1082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988</v>
      </c>
      <c r="B268" s="538" t="s">
        <v>489</v>
      </c>
      <c r="C268" s="215"/>
      <c r="D268" s="136" t="s">
        <v>1597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490</v>
      </c>
      <c r="D269" s="141" t="s">
        <v>50</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1256</v>
      </c>
      <c r="D270" s="141" t="s">
        <v>51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52</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929</v>
      </c>
      <c r="E272" s="142"/>
      <c r="F272" s="143"/>
      <c r="G272" s="142"/>
      <c r="H272" s="201">
        <f t="shared" si="27"/>
        <v>0</v>
      </c>
      <c r="I272" s="145"/>
      <c r="J272" s="145"/>
      <c r="K272" s="145"/>
      <c r="L272" s="145"/>
      <c r="M272" s="146"/>
      <c r="N272" s="146"/>
      <c r="O272" s="147"/>
      <c r="P272" s="25"/>
      <c r="Q272" s="22"/>
    </row>
    <row r="273" spans="1:63" s="28" customFormat="1" ht="15.75" hidden="1">
      <c r="A273" s="535" t="s">
        <v>989</v>
      </c>
      <c r="B273" s="538" t="s">
        <v>930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931</v>
      </c>
      <c r="D274" s="141" t="s">
        <v>932</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933</v>
      </c>
      <c r="D275" s="141" t="s">
        <v>140</v>
      </c>
      <c r="E275" s="142"/>
      <c r="F275" s="143"/>
      <c r="G275" s="142"/>
      <c r="H275" s="144">
        <f t="shared" si="27"/>
        <v>0</v>
      </c>
      <c r="I275" s="209">
        <f>3-3</f>
        <v>0</v>
      </c>
      <c r="J275" s="145"/>
      <c r="K275" s="145"/>
      <c r="L275" s="209"/>
      <c r="M275" s="146"/>
      <c r="N275" s="146"/>
      <c r="O275" s="147"/>
      <c r="P275" s="25"/>
      <c r="Q275" s="22"/>
    </row>
    <row r="276" spans="1:63" s="28" customFormat="1" ht="15.75" hidden="1">
      <c r="A276" s="535" t="s">
        <v>990</v>
      </c>
      <c r="B276" s="538" t="s">
        <v>141</v>
      </c>
      <c r="C276" s="215"/>
      <c r="D276" s="136" t="s">
        <v>1597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778</v>
      </c>
      <c r="D277" s="141" t="s">
        <v>556</v>
      </c>
      <c r="E277" s="142"/>
      <c r="F277" s="143"/>
      <c r="G277" s="142"/>
      <c r="H277" s="144">
        <f t="shared" si="27"/>
        <v>0</v>
      </c>
      <c r="I277" s="145"/>
      <c r="J277" s="145"/>
      <c r="K277" s="145"/>
      <c r="L277" s="145"/>
      <c r="M277" s="146"/>
      <c r="N277" s="146"/>
      <c r="O277" s="147"/>
      <c r="P277" s="25"/>
      <c r="Q277" s="22"/>
    </row>
    <row r="278" spans="1:17" s="45" customFormat="1" ht="15.75">
      <c r="A278" s="535" t="s">
        <v>991</v>
      </c>
      <c r="B278" s="538" t="s">
        <v>1093</v>
      </c>
      <c r="C278" s="212"/>
      <c r="D278" s="136" t="s">
        <v>1597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557</v>
      </c>
      <c r="D279" s="141" t="s">
        <v>558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1293</v>
      </c>
      <c r="E280" s="142"/>
      <c r="F280" s="143"/>
      <c r="G280" s="172"/>
      <c r="H280" s="144">
        <f t="shared" si="27"/>
        <v>0</v>
      </c>
      <c r="I280" s="145"/>
      <c r="J280" s="145"/>
      <c r="K280" s="145"/>
      <c r="L280" s="145"/>
      <c r="M280" s="146"/>
      <c r="N280" s="146"/>
      <c r="O280" s="147"/>
      <c r="P280" s="25"/>
      <c r="Q280" s="22"/>
    </row>
    <row r="281" spans="1:17" s="30" customFormat="1" ht="15.75">
      <c r="A281" s="535" t="s">
        <v>1600</v>
      </c>
      <c r="B281" s="538" t="s">
        <v>697</v>
      </c>
      <c r="C281" s="135"/>
      <c r="D281" s="136" t="s">
        <v>1294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1295</v>
      </c>
      <c r="D282" s="141" t="s">
        <v>1296</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778</v>
      </c>
      <c r="D283" s="141" t="s">
        <v>1385</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1386</v>
      </c>
      <c r="D284" s="141" t="s">
        <v>548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388</v>
      </c>
      <c r="D285" s="141" t="s">
        <v>549</v>
      </c>
      <c r="E285" s="142"/>
      <c r="F285" s="143"/>
      <c r="G285" s="172"/>
      <c r="H285" s="144">
        <f t="shared" si="27"/>
        <v>0</v>
      </c>
      <c r="I285" s="145"/>
      <c r="J285" s="145"/>
      <c r="K285" s="145"/>
      <c r="L285" s="145"/>
      <c r="M285" s="146"/>
      <c r="N285" s="146"/>
      <c r="O285" s="147"/>
      <c r="P285" s="25"/>
      <c r="Q285" s="22"/>
    </row>
    <row r="286" spans="1:17" s="30" customFormat="1" ht="15.75" customHeight="1">
      <c r="A286" s="157" t="s">
        <v>1551</v>
      </c>
      <c r="B286" s="166" t="s">
        <v>977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550</v>
      </c>
      <c r="B287" s="538" t="s">
        <v>551</v>
      </c>
      <c r="C287" s="135"/>
      <c r="D287" s="136" t="s">
        <v>1597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778</v>
      </c>
      <c r="D288" s="141" t="s">
        <v>552</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553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967</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968</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969</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1387</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1388</v>
      </c>
      <c r="D294" s="141" t="s">
        <v>1389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129</v>
      </c>
      <c r="B295" s="538" t="s">
        <v>1552</v>
      </c>
      <c r="C295" s="167"/>
      <c r="D295" s="216" t="s">
        <v>1597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1390</v>
      </c>
      <c r="D296" s="217" t="s">
        <v>514</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515</v>
      </c>
      <c r="D297" s="217" t="s">
        <v>150</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778</v>
      </c>
      <c r="D298" s="217" t="s">
        <v>151</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152</v>
      </c>
      <c r="D299" s="217" t="s">
        <v>153</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1013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1014</v>
      </c>
      <c r="B301" s="538" t="s">
        <v>1553</v>
      </c>
      <c r="C301" s="195"/>
      <c r="D301" s="136" t="s">
        <v>1597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1409</v>
      </c>
      <c r="D302" s="217" t="s">
        <v>1410</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388</v>
      </c>
      <c r="D303" s="217" t="s">
        <v>1411</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1407</v>
      </c>
      <c r="D304" s="217" t="s">
        <v>1480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1406</v>
      </c>
      <c r="D305" s="217" t="s">
        <v>1434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1038</v>
      </c>
      <c r="D306" s="217" t="s">
        <v>1039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1040</v>
      </c>
      <c r="D307" s="217" t="s">
        <v>1041</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1015</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1016</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1017</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1018</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1019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1020</v>
      </c>
      <c r="B318" s="538" t="s">
        <v>1088</v>
      </c>
      <c r="C318" s="195"/>
      <c r="D318" s="136" t="s">
        <v>1597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392</v>
      </c>
      <c r="D319" s="141" t="s">
        <v>1021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1416</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1417</v>
      </c>
      <c r="D321" s="141" t="s">
        <v>1418</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1091</v>
      </c>
      <c r="C322" s="195"/>
      <c r="D322" s="136" t="s">
        <v>1597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1419</v>
      </c>
      <c r="D323" s="217" t="s">
        <v>1420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1421</v>
      </c>
      <c r="D324" s="217" t="s">
        <v>1422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1423</v>
      </c>
      <c r="D325" s="217" t="s">
        <v>1424</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1425</v>
      </c>
      <c r="D326" s="208" t="s">
        <v>974</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975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857</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1346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1347</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37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1096</v>
      </c>
      <c r="C343" s="195"/>
      <c r="D343" s="136" t="s">
        <v>1597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38</v>
      </c>
      <c r="D344" s="141" t="s">
        <v>39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1423</v>
      </c>
      <c r="D345" s="141" t="s">
        <v>40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41</v>
      </c>
      <c r="D346" s="141" t="s">
        <v>42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43</v>
      </c>
      <c r="D347" s="217" t="s">
        <v>44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45</v>
      </c>
      <c r="D348" s="208" t="s">
        <v>1299</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45</v>
      </c>
      <c r="D349" s="208" t="s">
        <v>1300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913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914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915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916</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809</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810</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424</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425</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426</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858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859</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89</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90</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85</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86</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853</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854</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855</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46</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47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48</v>
      </c>
      <c r="C371" s="195"/>
      <c r="D371" s="136" t="s">
        <v>1597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49</v>
      </c>
      <c r="D372" s="141" t="s">
        <v>860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861</v>
      </c>
      <c r="D373" s="141" t="s">
        <v>862</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863</v>
      </c>
      <c r="D374" s="141" t="s">
        <v>864</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865</v>
      </c>
      <c r="D375" s="141" t="s">
        <v>499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1367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500</v>
      </c>
      <c r="D377" s="225" t="s">
        <v>117</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118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119</v>
      </c>
      <c r="D379" s="230" t="s">
        <v>1329</v>
      </c>
      <c r="E379" s="172"/>
      <c r="F379" s="143"/>
      <c r="G379" s="172"/>
      <c r="H379" s="144">
        <f t="shared" si="40"/>
        <v>0</v>
      </c>
      <c r="I379" s="145"/>
      <c r="J379" s="145"/>
      <c r="K379" s="145"/>
      <c r="L379" s="219"/>
      <c r="M379" s="146"/>
      <c r="N379" s="146"/>
      <c r="O379" s="147"/>
      <c r="P379" s="25"/>
    </row>
    <row r="380" spans="1:16" ht="32.25" hidden="1">
      <c r="A380" s="512"/>
      <c r="B380" s="512"/>
      <c r="C380" s="167"/>
      <c r="D380" s="230" t="s">
        <v>1330</v>
      </c>
      <c r="E380" s="172"/>
      <c r="F380" s="143"/>
      <c r="G380" s="172"/>
      <c r="H380" s="144">
        <f t="shared" si="40"/>
        <v>0</v>
      </c>
      <c r="I380" s="145"/>
      <c r="J380" s="145"/>
      <c r="K380" s="145"/>
      <c r="L380" s="219"/>
      <c r="M380" s="146"/>
      <c r="N380" s="146"/>
      <c r="O380" s="147"/>
      <c r="P380" s="25"/>
    </row>
    <row r="381" spans="1:16" ht="32.25" hidden="1">
      <c r="A381" s="512"/>
      <c r="B381" s="512"/>
      <c r="C381" s="167"/>
      <c r="D381" s="230" t="s">
        <v>1331</v>
      </c>
      <c r="E381" s="172"/>
      <c r="F381" s="143"/>
      <c r="G381" s="172"/>
      <c r="H381" s="144">
        <f t="shared" si="40"/>
        <v>0</v>
      </c>
      <c r="I381" s="145"/>
      <c r="J381" s="145"/>
      <c r="K381" s="145"/>
      <c r="L381" s="219"/>
      <c r="M381" s="146"/>
      <c r="N381" s="146"/>
      <c r="O381" s="147"/>
      <c r="P381" s="25"/>
    </row>
    <row r="382" spans="1:16" ht="32.25" hidden="1">
      <c r="A382" s="512"/>
      <c r="B382" s="512"/>
      <c r="C382" s="167"/>
      <c r="D382" s="230" t="s">
        <v>510</v>
      </c>
      <c r="E382" s="172"/>
      <c r="F382" s="143"/>
      <c r="G382" s="172"/>
      <c r="H382" s="144">
        <f t="shared" si="40"/>
        <v>0</v>
      </c>
      <c r="I382" s="145"/>
      <c r="J382" s="145"/>
      <c r="K382" s="145"/>
      <c r="L382" s="219"/>
      <c r="M382" s="146"/>
      <c r="N382" s="146"/>
      <c r="O382" s="147"/>
      <c r="P382" s="25"/>
    </row>
    <row r="383" spans="1:16" ht="48" hidden="1">
      <c r="A383" s="512"/>
      <c r="B383" s="512"/>
      <c r="C383" s="167" t="s">
        <v>511</v>
      </c>
      <c r="D383" s="228" t="s">
        <v>512</v>
      </c>
      <c r="E383" s="172"/>
      <c r="F383" s="143"/>
      <c r="G383" s="172"/>
      <c r="H383" s="169">
        <f t="shared" si="40"/>
        <v>0</v>
      </c>
      <c r="I383" s="163"/>
      <c r="J383" s="163"/>
      <c r="K383" s="163"/>
      <c r="L383" s="231"/>
      <c r="M383" s="182"/>
      <c r="N383" s="182"/>
      <c r="O383" s="183"/>
      <c r="P383" s="25"/>
    </row>
    <row r="384" spans="1:16" ht="15.75" hidden="1">
      <c r="A384" s="512"/>
      <c r="B384" s="512"/>
      <c r="C384" s="197"/>
      <c r="D384" s="228" t="s">
        <v>513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1297</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1298</v>
      </c>
      <c r="D386" s="225" t="s">
        <v>532</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533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534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535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56</v>
      </c>
      <c r="B391" s="545" t="s">
        <v>520</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1154</v>
      </c>
      <c r="B392" s="554" t="s">
        <v>1596</v>
      </c>
      <c r="C392" s="195"/>
      <c r="D392" s="136" t="s">
        <v>1597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370</v>
      </c>
      <c r="D393" s="141" t="s">
        <v>371</v>
      </c>
      <c r="E393" s="142"/>
      <c r="F393" s="143"/>
      <c r="G393" s="172"/>
      <c r="H393" s="144">
        <f t="shared" si="45"/>
        <v>0</v>
      </c>
      <c r="I393" s="163"/>
      <c r="J393" s="163"/>
      <c r="K393" s="163"/>
      <c r="L393" s="145"/>
      <c r="M393" s="146"/>
      <c r="N393" s="182"/>
      <c r="O393" s="182"/>
      <c r="P393" s="25"/>
      <c r="Q393" s="22"/>
    </row>
    <row r="394" spans="1:17" s="30" customFormat="1" ht="18.75" customHeight="1">
      <c r="A394" s="234" t="s">
        <v>1094</v>
      </c>
      <c r="B394" s="235" t="s">
        <v>521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698</v>
      </c>
      <c r="B395" s="538" t="s">
        <v>522</v>
      </c>
      <c r="C395" s="195"/>
      <c r="D395" s="216" t="s">
        <v>1597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523</v>
      </c>
      <c r="D396" s="208" t="s">
        <v>173</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174</v>
      </c>
      <c r="D397" s="217" t="s">
        <v>175</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176</v>
      </c>
      <c r="D398" s="217" t="s">
        <v>177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178</v>
      </c>
      <c r="D399" s="217" t="s">
        <v>635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260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261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262</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263</v>
      </c>
      <c r="D403" s="217" t="s">
        <v>264</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265</v>
      </c>
      <c r="D404" s="217" t="s">
        <v>266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663</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1510</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1511</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1512</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1513</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1514</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631</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632</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633</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1359</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1360</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634</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172</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1361</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1542</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1362</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1543</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1074</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937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938</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1437</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941</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942</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807</v>
      </c>
      <c r="E428" s="142"/>
      <c r="F428" s="143"/>
      <c r="G428" s="142"/>
      <c r="H428" s="144">
        <f t="shared" si="50"/>
        <v>257000</v>
      </c>
      <c r="I428" s="145"/>
      <c r="J428" s="145"/>
      <c r="K428" s="145"/>
      <c r="L428" s="247">
        <v>257000</v>
      </c>
      <c r="M428" s="146"/>
      <c r="N428" s="146"/>
      <c r="O428" s="239"/>
      <c r="P428" s="25"/>
      <c r="Q428" s="22"/>
    </row>
    <row r="429" spans="1:17" s="30" customFormat="1" ht="15.75">
      <c r="A429" s="556" t="s">
        <v>699</v>
      </c>
      <c r="B429" s="538" t="s">
        <v>808</v>
      </c>
      <c r="C429" s="227"/>
      <c r="D429" s="249" t="s">
        <v>1597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501</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836</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980</v>
      </c>
      <c r="B432" s="538" t="s">
        <v>1117</v>
      </c>
      <c r="C432" s="195"/>
      <c r="D432" s="216" t="s">
        <v>1597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1432</v>
      </c>
      <c r="D433" s="217" t="s">
        <v>1042</v>
      </c>
      <c r="E433" s="142"/>
      <c r="F433" s="143"/>
      <c r="G433" s="142"/>
      <c r="H433" s="144">
        <f t="shared" si="50"/>
        <v>0</v>
      </c>
      <c r="I433" s="145"/>
      <c r="J433" s="145"/>
      <c r="K433" s="145"/>
      <c r="L433" s="145"/>
      <c r="M433" s="146"/>
      <c r="N433" s="146"/>
      <c r="O433" s="239"/>
      <c r="P433" s="25"/>
    </row>
    <row r="434" spans="1:16" ht="47.25">
      <c r="A434" s="557"/>
      <c r="B434" s="512"/>
      <c r="C434" s="218" t="s">
        <v>1043</v>
      </c>
      <c r="D434" s="217" t="s">
        <v>1044</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1045</v>
      </c>
      <c r="D435" s="217" t="s">
        <v>681</v>
      </c>
      <c r="E435" s="142"/>
      <c r="F435" s="143"/>
      <c r="G435" s="142"/>
      <c r="H435" s="144">
        <f t="shared" si="50"/>
        <v>0</v>
      </c>
      <c r="I435" s="145"/>
      <c r="J435" s="145"/>
      <c r="K435" s="145"/>
      <c r="L435" s="145"/>
      <c r="M435" s="146"/>
      <c r="N435" s="146"/>
      <c r="O435" s="239"/>
      <c r="P435" s="25"/>
    </row>
    <row r="436" spans="1:16" ht="31.5" customHeight="1" hidden="1">
      <c r="A436" s="557"/>
      <c r="B436" s="512"/>
      <c r="C436" s="218" t="s">
        <v>682</v>
      </c>
      <c r="D436" s="217" t="s">
        <v>300</v>
      </c>
      <c r="E436" s="142"/>
      <c r="F436" s="143"/>
      <c r="G436" s="142"/>
      <c r="H436" s="144">
        <f t="shared" si="50"/>
        <v>0</v>
      </c>
      <c r="I436" s="145"/>
      <c r="J436" s="145"/>
      <c r="K436" s="145"/>
      <c r="L436" s="145"/>
      <c r="M436" s="146"/>
      <c r="N436" s="146"/>
      <c r="O436" s="239"/>
      <c r="P436" s="25"/>
    </row>
    <row r="437" spans="1:16" ht="47.25">
      <c r="A437" s="557"/>
      <c r="B437" s="512"/>
      <c r="C437" s="218" t="s">
        <v>301</v>
      </c>
      <c r="D437" s="217" t="s">
        <v>1332</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1001</v>
      </c>
      <c r="D438" s="217" t="s">
        <v>1002</v>
      </c>
      <c r="E438" s="142"/>
      <c r="F438" s="143"/>
      <c r="G438" s="142"/>
      <c r="H438" s="144">
        <f t="shared" si="50"/>
        <v>0</v>
      </c>
      <c r="I438" s="145"/>
      <c r="J438" s="145"/>
      <c r="K438" s="145"/>
      <c r="L438" s="145"/>
      <c r="M438" s="146"/>
      <c r="N438" s="146"/>
      <c r="O438" s="239"/>
      <c r="P438" s="25"/>
    </row>
    <row r="439" spans="1:16" ht="31.5" customHeight="1" hidden="1">
      <c r="A439" s="557"/>
      <c r="B439" s="512"/>
      <c r="C439" s="218" t="s">
        <v>1003</v>
      </c>
      <c r="D439" s="217" t="s">
        <v>1004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1005</v>
      </c>
      <c r="D440" s="217" t="s">
        <v>1507</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1508</v>
      </c>
      <c r="D441" s="217" t="s">
        <v>1509</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1037</v>
      </c>
      <c r="D442" s="217" t="s">
        <v>605</v>
      </c>
      <c r="E442" s="142"/>
      <c r="F442" s="143"/>
      <c r="G442" s="142"/>
      <c r="H442" s="144">
        <f t="shared" si="50"/>
        <v>0</v>
      </c>
      <c r="I442" s="145"/>
      <c r="J442" s="145"/>
      <c r="K442" s="145"/>
      <c r="L442" s="145"/>
      <c r="M442" s="146"/>
      <c r="N442" s="146"/>
      <c r="O442" s="239"/>
      <c r="P442" s="25"/>
    </row>
    <row r="443" spans="1:16" ht="31.5" customHeight="1" hidden="1">
      <c r="A443" s="557"/>
      <c r="B443" s="512"/>
      <c r="C443" s="167" t="s">
        <v>606</v>
      </c>
      <c r="D443" s="217" t="s">
        <v>607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608</v>
      </c>
      <c r="D444" s="217" t="s">
        <v>609</v>
      </c>
      <c r="E444" s="142"/>
      <c r="F444" s="143"/>
      <c r="G444" s="142"/>
      <c r="H444" s="144">
        <f t="shared" si="50"/>
        <v>0</v>
      </c>
      <c r="I444" s="145"/>
      <c r="J444" s="145"/>
      <c r="K444" s="145"/>
      <c r="L444" s="145"/>
      <c r="M444" s="146"/>
      <c r="N444" s="146"/>
      <c r="O444" s="239"/>
      <c r="P444" s="25"/>
    </row>
    <row r="445" spans="1:16" ht="15.75" customHeight="1" hidden="1">
      <c r="A445" s="557"/>
      <c r="B445" s="512"/>
      <c r="C445" s="501" t="s">
        <v>610</v>
      </c>
      <c r="D445" s="141" t="s">
        <v>64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65</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483</v>
      </c>
      <c r="E447" s="199"/>
      <c r="F447" s="143"/>
      <c r="G447" s="199"/>
      <c r="H447" s="201">
        <f t="shared" si="50"/>
        <v>0</v>
      </c>
      <c r="I447" s="202"/>
      <c r="J447" s="202"/>
      <c r="K447" s="202"/>
      <c r="L447" s="202"/>
      <c r="M447" s="203"/>
      <c r="N447" s="203"/>
      <c r="O447" s="246"/>
      <c r="P447" s="25"/>
    </row>
    <row r="448" spans="1:16" ht="31.5" customHeight="1" hidden="1">
      <c r="A448" s="557"/>
      <c r="B448" s="512"/>
      <c r="C448" s="167" t="s">
        <v>484</v>
      </c>
      <c r="D448" s="141" t="s">
        <v>81</v>
      </c>
      <c r="E448" s="142"/>
      <c r="F448" s="143"/>
      <c r="G448" s="142"/>
      <c r="H448" s="144">
        <f t="shared" si="50"/>
        <v>0</v>
      </c>
      <c r="I448" s="145"/>
      <c r="J448" s="145"/>
      <c r="K448" s="145"/>
      <c r="L448" s="145"/>
      <c r="M448" s="146"/>
      <c r="N448" s="146"/>
      <c r="O448" s="239"/>
      <c r="P448" s="25"/>
    </row>
    <row r="449" spans="1:16" ht="47.25" customHeight="1" hidden="1">
      <c r="A449" s="557"/>
      <c r="B449" s="512"/>
      <c r="C449" s="167" t="s">
        <v>82</v>
      </c>
      <c r="D449" s="217" t="s">
        <v>1348</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1349</v>
      </c>
      <c r="D450" s="217" t="s">
        <v>1350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1351</v>
      </c>
      <c r="E451" s="199"/>
      <c r="F451" s="143"/>
      <c r="G451" s="199"/>
      <c r="H451" s="201">
        <f t="shared" si="50"/>
        <v>88320</v>
      </c>
      <c r="I451" s="202"/>
      <c r="J451" s="202"/>
      <c r="K451" s="202"/>
      <c r="L451" s="202">
        <v>88320</v>
      </c>
      <c r="M451" s="146"/>
      <c r="N451" s="146"/>
      <c r="O451" s="239"/>
      <c r="P451" s="25"/>
    </row>
    <row r="452" spans="1:16" ht="15.75">
      <c r="A452" s="557"/>
      <c r="B452" s="512"/>
      <c r="C452" s="502"/>
      <c r="D452" s="60" t="s">
        <v>1352</v>
      </c>
      <c r="E452" s="199"/>
      <c r="F452" s="143"/>
      <c r="G452" s="199"/>
      <c r="H452" s="201">
        <f t="shared" si="50"/>
        <v>84900</v>
      </c>
      <c r="I452" s="202"/>
      <c r="J452" s="202"/>
      <c r="K452" s="202"/>
      <c r="L452" s="202">
        <v>84900</v>
      </c>
      <c r="M452" s="146"/>
      <c r="N452" s="146"/>
      <c r="O452" s="239"/>
      <c r="P452" s="25"/>
    </row>
    <row r="453" spans="1:16" ht="15.75">
      <c r="A453" s="557"/>
      <c r="B453" s="512"/>
      <c r="C453" s="503"/>
      <c r="D453" s="60" t="s">
        <v>1353</v>
      </c>
      <c r="E453" s="199"/>
      <c r="F453" s="143"/>
      <c r="G453" s="199"/>
      <c r="H453" s="201">
        <f t="shared" si="50"/>
        <v>12342</v>
      </c>
      <c r="I453" s="202"/>
      <c r="J453" s="202"/>
      <c r="K453" s="202"/>
      <c r="L453" s="202">
        <v>12342</v>
      </c>
      <c r="M453" s="146"/>
      <c r="N453" s="146"/>
      <c r="O453" s="239"/>
      <c r="P453" s="25"/>
    </row>
    <row r="454" spans="1:16" ht="31.5">
      <c r="A454" s="557"/>
      <c r="B454" s="512"/>
      <c r="C454" s="205" t="s">
        <v>1354</v>
      </c>
      <c r="D454" s="217" t="s">
        <v>1355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1356</v>
      </c>
      <c r="D455" s="217" t="s">
        <v>1357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1325</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1326</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1327</v>
      </c>
      <c r="E458" s="199"/>
      <c r="F458" s="143"/>
      <c r="G458" s="199"/>
      <c r="H458" s="201">
        <f t="shared" si="55"/>
        <v>0</v>
      </c>
      <c r="I458" s="202"/>
      <c r="J458" s="202"/>
      <c r="K458" s="202"/>
      <c r="L458" s="202"/>
      <c r="M458" s="203"/>
      <c r="N458" s="203"/>
      <c r="O458" s="246"/>
      <c r="P458" s="25"/>
    </row>
    <row r="459" spans="1:16" ht="15.75">
      <c r="A459" s="557"/>
      <c r="B459" s="512"/>
      <c r="C459" s="501" t="s">
        <v>1328</v>
      </c>
      <c r="D459" s="217" t="s">
        <v>1323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502</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503</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504</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155</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505</v>
      </c>
      <c r="D464" s="61" t="s">
        <v>506</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507</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509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508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837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1358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1110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83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1363</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508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837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1358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1110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84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468</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469</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470</v>
      </c>
      <c r="E481" s="142"/>
      <c r="F481" s="143"/>
      <c r="G481" s="142"/>
      <c r="H481" s="144">
        <f t="shared" si="55"/>
        <v>677330</v>
      </c>
      <c r="I481" s="202"/>
      <c r="J481" s="202"/>
      <c r="K481" s="145"/>
      <c r="L481" s="247">
        <v>677330</v>
      </c>
      <c r="M481" s="202"/>
      <c r="N481" s="202"/>
      <c r="O481" s="202"/>
      <c r="P481" s="25"/>
    </row>
    <row r="482" spans="1:16" ht="31.5">
      <c r="A482" s="557"/>
      <c r="B482" s="512"/>
      <c r="C482" s="205"/>
      <c r="D482" s="13" t="s">
        <v>471</v>
      </c>
      <c r="E482" s="142"/>
      <c r="F482" s="143"/>
      <c r="G482" s="142"/>
      <c r="H482" s="144">
        <f t="shared" si="55"/>
        <v>250000</v>
      </c>
      <c r="I482" s="202"/>
      <c r="J482" s="202"/>
      <c r="K482" s="145"/>
      <c r="L482" s="247">
        <v>250000</v>
      </c>
      <c r="M482" s="203"/>
      <c r="N482" s="203"/>
      <c r="O482" s="246"/>
      <c r="P482" s="25"/>
    </row>
    <row r="483" spans="1:16" ht="31.5">
      <c r="A483" s="557"/>
      <c r="B483" s="512"/>
      <c r="C483" s="205"/>
      <c r="D483" s="13" t="s">
        <v>472</v>
      </c>
      <c r="E483" s="142"/>
      <c r="F483" s="143"/>
      <c r="G483" s="142"/>
      <c r="H483" s="144">
        <f t="shared" si="55"/>
        <v>200000</v>
      </c>
      <c r="I483" s="202"/>
      <c r="J483" s="202"/>
      <c r="K483" s="145"/>
      <c r="L483" s="247">
        <v>200000</v>
      </c>
      <c r="M483" s="203"/>
      <c r="N483" s="203"/>
      <c r="O483" s="246"/>
      <c r="P483" s="25"/>
    </row>
    <row r="484" spans="1:16" ht="31.5">
      <c r="A484" s="557"/>
      <c r="B484" s="512"/>
      <c r="C484" s="205"/>
      <c r="D484" s="13" t="s">
        <v>473</v>
      </c>
      <c r="E484" s="142"/>
      <c r="F484" s="143"/>
      <c r="G484" s="142"/>
      <c r="H484" s="144">
        <f t="shared" si="55"/>
        <v>53120</v>
      </c>
      <c r="I484" s="202"/>
      <c r="J484" s="202"/>
      <c r="K484" s="145"/>
      <c r="L484" s="247">
        <v>53120</v>
      </c>
      <c r="M484" s="203"/>
      <c r="N484" s="203"/>
      <c r="O484" s="246"/>
      <c r="P484" s="25"/>
    </row>
    <row r="485" spans="1:16" ht="31.5">
      <c r="A485" s="557"/>
      <c r="B485" s="512"/>
      <c r="C485" s="205"/>
      <c r="D485" s="13" t="s">
        <v>474</v>
      </c>
      <c r="E485" s="142"/>
      <c r="F485" s="143"/>
      <c r="G485" s="142"/>
      <c r="H485" s="144">
        <f t="shared" si="55"/>
        <v>31760</v>
      </c>
      <c r="I485" s="202"/>
      <c r="J485" s="202"/>
      <c r="K485" s="145"/>
      <c r="L485" s="247">
        <v>31760</v>
      </c>
      <c r="M485" s="203"/>
      <c r="N485" s="203"/>
      <c r="O485" s="246"/>
      <c r="P485" s="25"/>
    </row>
    <row r="486" spans="1:16" ht="31.5">
      <c r="A486" s="557"/>
      <c r="B486" s="512"/>
      <c r="C486" s="205"/>
      <c r="D486" s="13" t="s">
        <v>1111</v>
      </c>
      <c r="E486" s="142"/>
      <c r="F486" s="143"/>
      <c r="G486" s="142"/>
      <c r="H486" s="144">
        <f t="shared" si="55"/>
        <v>22320</v>
      </c>
      <c r="I486" s="202"/>
      <c r="J486" s="202"/>
      <c r="K486" s="145"/>
      <c r="L486" s="247">
        <v>22320</v>
      </c>
      <c r="M486" s="203"/>
      <c r="N486" s="203"/>
      <c r="O486" s="246"/>
      <c r="P486" s="25"/>
    </row>
    <row r="487" spans="1:16" ht="31.5">
      <c r="A487" s="557"/>
      <c r="B487" s="512"/>
      <c r="C487" s="205"/>
      <c r="D487" s="66" t="s">
        <v>758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759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760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761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762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463</v>
      </c>
      <c r="E492" s="142"/>
      <c r="F492" s="143"/>
      <c r="G492" s="142"/>
      <c r="H492" s="144">
        <f t="shared" si="58"/>
        <v>57890.57</v>
      </c>
      <c r="I492" s="202"/>
      <c r="J492" s="202"/>
      <c r="K492" s="202"/>
      <c r="L492" s="247">
        <v>57890.57</v>
      </c>
      <c r="M492" s="203"/>
      <c r="N492" s="203"/>
      <c r="O492" s="246"/>
      <c r="P492" s="25"/>
    </row>
    <row r="493" spans="1:16" ht="20.25" customHeight="1">
      <c r="A493" s="556" t="s">
        <v>981</v>
      </c>
      <c r="B493" s="538" t="s">
        <v>1078</v>
      </c>
      <c r="C493" s="195"/>
      <c r="D493" s="216" t="s">
        <v>1597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1112</v>
      </c>
      <c r="D494" s="217" t="s">
        <v>1113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1114</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748</v>
      </c>
      <c r="E496" s="199"/>
      <c r="F496" s="143"/>
      <c r="G496" s="199"/>
      <c r="H496" s="201">
        <f t="shared" si="58"/>
        <v>0</v>
      </c>
      <c r="I496" s="202"/>
      <c r="J496" s="202"/>
      <c r="K496" s="202"/>
      <c r="L496" s="202"/>
      <c r="M496" s="146"/>
      <c r="N496" s="146"/>
      <c r="O496" s="239"/>
      <c r="P496" s="25"/>
    </row>
    <row r="497" spans="1:16" ht="31.5">
      <c r="A497" s="557"/>
      <c r="B497" s="512"/>
      <c r="C497" s="562"/>
      <c r="D497" s="352" t="s">
        <v>749</v>
      </c>
      <c r="E497" s="199"/>
      <c r="F497" s="143"/>
      <c r="G497" s="199"/>
      <c r="H497" s="201">
        <f t="shared" si="58"/>
        <v>15900</v>
      </c>
      <c r="I497" s="202"/>
      <c r="J497" s="202"/>
      <c r="K497" s="202"/>
      <c r="L497" s="202">
        <v>15900</v>
      </c>
      <c r="M497" s="146"/>
      <c r="N497" s="146"/>
      <c r="O497" s="239"/>
      <c r="P497" s="25"/>
    </row>
    <row r="498" spans="1:16" ht="31.5">
      <c r="A498" s="557"/>
      <c r="B498" s="512"/>
      <c r="C498" s="563"/>
      <c r="D498" s="352" t="s">
        <v>1097</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1098</v>
      </c>
      <c r="D499" s="217" t="s">
        <v>1099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1100</v>
      </c>
      <c r="E500" s="142"/>
      <c r="F500" s="143"/>
      <c r="G500" s="142"/>
      <c r="H500" s="144">
        <f t="shared" si="58"/>
        <v>0</v>
      </c>
      <c r="I500" s="145"/>
      <c r="J500" s="145"/>
      <c r="K500" s="145"/>
      <c r="L500" s="145"/>
      <c r="M500" s="146"/>
      <c r="N500" s="146"/>
      <c r="O500" s="239"/>
      <c r="P500" s="25"/>
    </row>
    <row r="501" spans="1:16" ht="31.5">
      <c r="A501" s="557"/>
      <c r="B501" s="512"/>
      <c r="C501" s="135"/>
      <c r="D501" s="217" t="s">
        <v>750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464</v>
      </c>
      <c r="E502" s="142"/>
      <c r="F502" s="143"/>
      <c r="G502" s="142"/>
      <c r="H502" s="144">
        <f t="shared" si="58"/>
        <v>30000</v>
      </c>
      <c r="I502" s="145"/>
      <c r="J502" s="145"/>
      <c r="K502" s="145"/>
      <c r="L502" s="247">
        <v>30000</v>
      </c>
      <c r="M502" s="146"/>
      <c r="N502" s="146"/>
      <c r="O502" s="239"/>
      <c r="P502" s="25"/>
    </row>
    <row r="503" spans="1:16" ht="31.5">
      <c r="A503" s="557"/>
      <c r="B503" s="512"/>
      <c r="C503" s="135"/>
      <c r="D503" s="13" t="s">
        <v>871</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872</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873</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874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982</v>
      </c>
      <c r="B507" s="549" t="s">
        <v>751</v>
      </c>
      <c r="C507" s="167"/>
      <c r="D507" s="216" t="s">
        <v>752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753</v>
      </c>
      <c r="D508" s="217" t="s">
        <v>1219</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758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759</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760</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761</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762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127</v>
      </c>
      <c r="B517" s="538" t="s">
        <v>53</v>
      </c>
      <c r="C517" s="195"/>
      <c r="D517" s="216" t="s">
        <v>1597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763</v>
      </c>
      <c r="D518" s="217" t="s">
        <v>764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765</v>
      </c>
      <c r="D519" s="217" t="s">
        <v>766</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1098</v>
      </c>
      <c r="D520" s="217" t="s">
        <v>767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888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57</v>
      </c>
      <c r="B523" s="545" t="s">
        <v>768</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1154</v>
      </c>
      <c r="B524" s="549" t="s">
        <v>1599</v>
      </c>
      <c r="C524" s="195"/>
      <c r="D524" s="216" t="s">
        <v>1597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769</v>
      </c>
      <c r="D525" s="208" t="s">
        <v>770</v>
      </c>
      <c r="E525" s="142"/>
      <c r="F525" s="143"/>
      <c r="G525" s="142"/>
      <c r="H525" s="144">
        <f t="shared" si="63"/>
        <v>0</v>
      </c>
      <c r="I525" s="145"/>
      <c r="J525" s="145"/>
      <c r="K525" s="145"/>
      <c r="L525" s="145"/>
      <c r="M525" s="146"/>
      <c r="N525" s="146"/>
      <c r="O525" s="147"/>
      <c r="P525" s="25"/>
    </row>
    <row r="526" spans="1:16" ht="15.75" customHeight="1" hidden="1">
      <c r="A526" s="547"/>
      <c r="B526" s="550"/>
      <c r="C526" s="167" t="s">
        <v>1223</v>
      </c>
      <c r="D526" s="208" t="s">
        <v>1224</v>
      </c>
      <c r="E526" s="142"/>
      <c r="F526" s="143"/>
      <c r="G526" s="142"/>
      <c r="H526" s="144">
        <f t="shared" si="63"/>
        <v>0</v>
      </c>
      <c r="I526" s="145"/>
      <c r="J526" s="145"/>
      <c r="K526" s="145"/>
      <c r="L526" s="145"/>
      <c r="M526" s="146"/>
      <c r="N526" s="146"/>
      <c r="O526" s="147"/>
      <c r="P526" s="25"/>
    </row>
    <row r="527" spans="1:16" ht="31.5">
      <c r="A527" s="547"/>
      <c r="B527" s="550"/>
      <c r="C527" s="167" t="s">
        <v>370</v>
      </c>
      <c r="D527" s="208" t="s">
        <v>1538</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1539</v>
      </c>
      <c r="D528" s="208" t="s">
        <v>249</v>
      </c>
      <c r="E528" s="142"/>
      <c r="F528" s="143"/>
      <c r="G528" s="142"/>
      <c r="H528" s="144">
        <f t="shared" si="63"/>
        <v>0</v>
      </c>
      <c r="I528" s="145"/>
      <c r="J528" s="145"/>
      <c r="K528" s="145"/>
      <c r="L528" s="145"/>
      <c r="M528" s="146"/>
      <c r="N528" s="146"/>
      <c r="O528" s="147"/>
      <c r="P528" s="25"/>
    </row>
    <row r="529" spans="1:16" ht="47.25">
      <c r="A529" s="547"/>
      <c r="B529" s="550"/>
      <c r="C529" s="167"/>
      <c r="D529" s="208" t="s">
        <v>250</v>
      </c>
      <c r="E529" s="142"/>
      <c r="F529" s="143"/>
      <c r="G529" s="142"/>
      <c r="H529" s="144">
        <f t="shared" si="63"/>
        <v>86900</v>
      </c>
      <c r="I529" s="145"/>
      <c r="J529" s="145"/>
      <c r="K529" s="145"/>
      <c r="L529" s="145">
        <v>86900</v>
      </c>
      <c r="M529" s="146"/>
      <c r="N529" s="146"/>
      <c r="O529" s="147"/>
      <c r="P529" s="25"/>
    </row>
    <row r="530" spans="1:16" ht="47.25">
      <c r="A530" s="547"/>
      <c r="B530" s="550"/>
      <c r="C530" s="148" t="s">
        <v>251</v>
      </c>
      <c r="D530" s="141" t="s">
        <v>252</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253</v>
      </c>
      <c r="E531" s="142"/>
      <c r="F531" s="143"/>
      <c r="G531" s="142"/>
      <c r="H531" s="144">
        <f t="shared" si="63"/>
        <v>0</v>
      </c>
      <c r="I531" s="145"/>
      <c r="J531" s="145"/>
      <c r="K531" s="145"/>
      <c r="L531" s="145"/>
      <c r="M531" s="146"/>
      <c r="N531" s="146"/>
      <c r="O531" s="147"/>
      <c r="P531" s="25"/>
    </row>
    <row r="532" spans="1:16" ht="63" hidden="1">
      <c r="A532" s="547"/>
      <c r="B532" s="550"/>
      <c r="C532" s="148"/>
      <c r="D532" s="14" t="s">
        <v>892</v>
      </c>
      <c r="E532" s="142"/>
      <c r="F532" s="143"/>
      <c r="G532" s="142"/>
      <c r="H532" s="144">
        <f t="shared" si="63"/>
        <v>0</v>
      </c>
      <c r="I532" s="145"/>
      <c r="J532" s="145"/>
      <c r="K532" s="145"/>
      <c r="L532" s="145"/>
      <c r="M532" s="146"/>
      <c r="N532" s="146"/>
      <c r="O532" s="147"/>
      <c r="P532" s="25"/>
    </row>
    <row r="533" spans="1:16" ht="63" hidden="1">
      <c r="A533" s="547"/>
      <c r="B533" s="550"/>
      <c r="C533" s="148"/>
      <c r="D533" s="14" t="s">
        <v>893</v>
      </c>
      <c r="E533" s="142"/>
      <c r="F533" s="143"/>
      <c r="G533" s="142"/>
      <c r="H533" s="144">
        <f t="shared" si="63"/>
        <v>0</v>
      </c>
      <c r="I533" s="145"/>
      <c r="J533" s="145"/>
      <c r="K533" s="145"/>
      <c r="L533" s="145"/>
      <c r="M533" s="146"/>
      <c r="N533" s="146"/>
      <c r="O533" s="147"/>
      <c r="P533" s="25"/>
    </row>
    <row r="534" spans="1:16" ht="31.5" hidden="1">
      <c r="A534" s="548"/>
      <c r="B534" s="551"/>
      <c r="C534" s="148"/>
      <c r="D534" s="141" t="s">
        <v>254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128</v>
      </c>
      <c r="B539" s="261" t="s">
        <v>255</v>
      </c>
      <c r="C539" s="135"/>
      <c r="D539" s="141" t="s">
        <v>256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1153</v>
      </c>
      <c r="B540" s="227" t="s">
        <v>526</v>
      </c>
      <c r="C540" s="167" t="s">
        <v>527</v>
      </c>
      <c r="D540" s="196"/>
      <c r="E540" s="142"/>
      <c r="F540" s="143"/>
      <c r="G540" s="142"/>
      <c r="H540" s="144">
        <f t="shared" si="66"/>
        <v>0</v>
      </c>
      <c r="I540" s="145"/>
      <c r="J540" s="145"/>
      <c r="K540" s="165"/>
      <c r="L540" s="145"/>
      <c r="M540" s="146"/>
      <c r="N540" s="146"/>
      <c r="O540" s="147"/>
      <c r="P540" s="25"/>
    </row>
    <row r="541" spans="1:16" ht="15.75" customHeight="1">
      <c r="A541" s="546" t="s">
        <v>1364</v>
      </c>
      <c r="B541" s="549" t="s">
        <v>528</v>
      </c>
      <c r="C541" s="195"/>
      <c r="D541" s="216" t="s">
        <v>1597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529</v>
      </c>
      <c r="D542" s="141" t="s">
        <v>530</v>
      </c>
      <c r="E542" s="142"/>
      <c r="F542" s="143"/>
      <c r="G542" s="142"/>
      <c r="H542" s="144">
        <f t="shared" si="66"/>
        <v>0</v>
      </c>
      <c r="I542" s="145"/>
      <c r="J542" s="145"/>
      <c r="K542" s="145"/>
      <c r="L542" s="145"/>
      <c r="M542" s="146"/>
      <c r="N542" s="146"/>
      <c r="O542" s="147"/>
      <c r="P542" s="25"/>
    </row>
    <row r="543" spans="1:16" ht="31.5" customHeight="1" hidden="1">
      <c r="A543" s="547"/>
      <c r="B543" s="550"/>
      <c r="C543" s="167" t="s">
        <v>531</v>
      </c>
      <c r="D543" s="208" t="s">
        <v>186</v>
      </c>
      <c r="E543" s="142"/>
      <c r="F543" s="143"/>
      <c r="G543" s="142"/>
      <c r="H543" s="144">
        <f t="shared" si="66"/>
        <v>0</v>
      </c>
      <c r="I543" s="145"/>
      <c r="J543" s="145"/>
      <c r="K543" s="145"/>
      <c r="L543" s="145"/>
      <c r="M543" s="146"/>
      <c r="N543" s="146"/>
      <c r="O543" s="147"/>
      <c r="P543" s="25"/>
    </row>
    <row r="544" spans="1:16" ht="47.25" customHeight="1" hidden="1">
      <c r="A544" s="547"/>
      <c r="B544" s="550"/>
      <c r="C544" s="167" t="s">
        <v>187</v>
      </c>
      <c r="D544" s="208" t="s">
        <v>970</v>
      </c>
      <c r="E544" s="142"/>
      <c r="F544" s="143"/>
      <c r="G544" s="142"/>
      <c r="H544" s="144">
        <f t="shared" si="66"/>
        <v>0</v>
      </c>
      <c r="I544" s="145"/>
      <c r="J544" s="145"/>
      <c r="K544" s="145"/>
      <c r="L544" s="145"/>
      <c r="M544" s="146"/>
      <c r="N544" s="146"/>
      <c r="O544" s="147"/>
      <c r="P544" s="25"/>
    </row>
    <row r="545" spans="1:16" ht="47.25" customHeight="1" hidden="1">
      <c r="A545" s="547"/>
      <c r="B545" s="550"/>
      <c r="C545" s="167" t="s">
        <v>971</v>
      </c>
      <c r="D545" s="141" t="s">
        <v>972</v>
      </c>
      <c r="E545" s="142"/>
      <c r="F545" s="143"/>
      <c r="G545" s="142"/>
      <c r="H545" s="144">
        <f t="shared" si="66"/>
        <v>0</v>
      </c>
      <c r="I545" s="145"/>
      <c r="J545" s="145"/>
      <c r="K545" s="145"/>
      <c r="L545" s="145"/>
      <c r="M545" s="146"/>
      <c r="N545" s="146"/>
      <c r="O545" s="147"/>
      <c r="P545" s="25"/>
    </row>
    <row r="546" spans="1:16" ht="47.25">
      <c r="A546" s="547"/>
      <c r="B546" s="550"/>
      <c r="C546" s="167" t="s">
        <v>973</v>
      </c>
      <c r="D546" s="141" t="s">
        <v>584</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585</v>
      </c>
      <c r="E547" s="142"/>
      <c r="F547" s="143"/>
      <c r="G547" s="142"/>
      <c r="H547" s="144">
        <f t="shared" si="66"/>
        <v>0</v>
      </c>
      <c r="I547" s="145"/>
      <c r="J547" s="145"/>
      <c r="K547" s="145"/>
      <c r="L547" s="145"/>
      <c r="M547" s="146"/>
      <c r="N547" s="146"/>
      <c r="O547" s="147"/>
      <c r="P547" s="25"/>
    </row>
    <row r="548" spans="1:16" ht="47.25">
      <c r="A548" s="547"/>
      <c r="B548" s="550"/>
      <c r="C548" s="167" t="s">
        <v>586</v>
      </c>
      <c r="D548" s="141" t="s">
        <v>537</v>
      </c>
      <c r="E548" s="142"/>
      <c r="F548" s="143"/>
      <c r="G548" s="142"/>
      <c r="H548" s="144">
        <f t="shared" si="66"/>
        <v>24480</v>
      </c>
      <c r="I548" s="145"/>
      <c r="J548" s="145"/>
      <c r="K548" s="145"/>
      <c r="L548" s="145">
        <v>24480</v>
      </c>
      <c r="M548" s="146"/>
      <c r="N548" s="146"/>
      <c r="O548" s="147"/>
      <c r="P548" s="25"/>
    </row>
    <row r="549" spans="1:16" ht="31.5">
      <c r="A549" s="547"/>
      <c r="B549" s="550"/>
      <c r="C549" s="167"/>
      <c r="D549" s="14" t="s">
        <v>894</v>
      </c>
      <c r="E549" s="142"/>
      <c r="F549" s="143"/>
      <c r="G549" s="142"/>
      <c r="H549" s="144">
        <f t="shared" si="66"/>
        <v>82900</v>
      </c>
      <c r="I549" s="145"/>
      <c r="J549" s="145"/>
      <c r="K549" s="145"/>
      <c r="L549" s="241">
        <v>82900</v>
      </c>
      <c r="M549" s="146"/>
      <c r="N549" s="146"/>
      <c r="O549" s="147"/>
      <c r="P549" s="25"/>
    </row>
    <row r="550" spans="1:16" ht="31.5">
      <c r="A550" s="547"/>
      <c r="B550" s="550"/>
      <c r="C550" s="167"/>
      <c r="D550" s="14" t="s">
        <v>895</v>
      </c>
      <c r="E550" s="142"/>
      <c r="F550" s="143"/>
      <c r="G550" s="142"/>
      <c r="H550" s="144">
        <f t="shared" si="66"/>
        <v>14000</v>
      </c>
      <c r="I550" s="145"/>
      <c r="J550" s="145"/>
      <c r="K550" s="145"/>
      <c r="L550" s="241">
        <v>14000</v>
      </c>
      <c r="M550" s="146"/>
      <c r="N550" s="146"/>
      <c r="O550" s="147"/>
      <c r="P550" s="25"/>
    </row>
    <row r="551" spans="1:16" ht="31.5">
      <c r="A551" s="547"/>
      <c r="B551" s="550"/>
      <c r="C551" s="167"/>
      <c r="D551" s="262" t="s">
        <v>896</v>
      </c>
      <c r="E551" s="142"/>
      <c r="F551" s="143"/>
      <c r="G551" s="142"/>
      <c r="H551" s="144">
        <f t="shared" si="66"/>
        <v>40000</v>
      </c>
      <c r="I551" s="145"/>
      <c r="J551" s="145"/>
      <c r="K551" s="145"/>
      <c r="L551" s="241">
        <v>40000</v>
      </c>
      <c r="M551" s="146"/>
      <c r="N551" s="146"/>
      <c r="O551" s="147"/>
      <c r="P551" s="25"/>
    </row>
    <row r="552" spans="1:16" ht="31.5">
      <c r="A552" s="547"/>
      <c r="B552" s="550"/>
      <c r="C552" s="167"/>
      <c r="D552" s="262" t="s">
        <v>845</v>
      </c>
      <c r="E552" s="142"/>
      <c r="F552" s="143"/>
      <c r="G552" s="142"/>
      <c r="H552" s="144">
        <f t="shared" si="66"/>
        <v>31000</v>
      </c>
      <c r="I552" s="145"/>
      <c r="J552" s="145"/>
      <c r="K552" s="145"/>
      <c r="L552" s="241">
        <v>31000</v>
      </c>
      <c r="M552" s="146"/>
      <c r="N552" s="146"/>
      <c r="O552" s="147"/>
      <c r="P552" s="25"/>
    </row>
    <row r="553" spans="1:16" ht="63">
      <c r="A553" s="547"/>
      <c r="B553" s="550"/>
      <c r="C553" s="167"/>
      <c r="D553" s="262" t="s">
        <v>71</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72</v>
      </c>
      <c r="E554" s="142"/>
      <c r="F554" s="143"/>
      <c r="G554" s="142"/>
      <c r="H554" s="144">
        <f t="shared" si="66"/>
        <v>12800</v>
      </c>
      <c r="I554" s="145"/>
      <c r="J554" s="145"/>
      <c r="K554" s="145"/>
      <c r="L554" s="241">
        <v>12800</v>
      </c>
      <c r="M554" s="146"/>
      <c r="N554" s="146"/>
      <c r="O554" s="147"/>
      <c r="P554" s="25"/>
    </row>
    <row r="555" spans="1:16" ht="31.5">
      <c r="A555" s="548"/>
      <c r="B555" s="551"/>
      <c r="C555" s="167"/>
      <c r="D555" s="263" t="s">
        <v>73</v>
      </c>
      <c r="E555" s="142"/>
      <c r="F555" s="143"/>
      <c r="G555" s="142"/>
      <c r="H555" s="144">
        <f t="shared" si="66"/>
        <v>10000</v>
      </c>
      <c r="I555" s="145"/>
      <c r="J555" s="145"/>
      <c r="K555" s="145"/>
      <c r="L555" s="241">
        <v>10000</v>
      </c>
      <c r="M555" s="146"/>
      <c r="N555" s="146"/>
      <c r="O555" s="147"/>
      <c r="P555" s="25"/>
    </row>
    <row r="556" spans="1:16" ht="37.5" customHeight="1" hidden="1">
      <c r="A556" s="260" t="s">
        <v>1090</v>
      </c>
      <c r="B556" s="227" t="s">
        <v>1091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58</v>
      </c>
      <c r="B558" s="545" t="s">
        <v>976</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1154</v>
      </c>
      <c r="B559" s="538" t="s">
        <v>1599</v>
      </c>
      <c r="C559" s="195"/>
      <c r="D559" s="136" t="s">
        <v>538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370</v>
      </c>
      <c r="D560" s="141" t="s">
        <v>371</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539</v>
      </c>
      <c r="D561" s="141" t="s">
        <v>540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59</v>
      </c>
      <c r="B563" s="545" t="s">
        <v>541</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1154</v>
      </c>
      <c r="B564" s="538" t="s">
        <v>1599</v>
      </c>
      <c r="C564" s="135"/>
      <c r="D564" s="136" t="s">
        <v>1597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370</v>
      </c>
      <c r="D565" s="141" t="s">
        <v>371</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542</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543</v>
      </c>
      <c r="C567" s="135"/>
      <c r="D567" s="216" t="s">
        <v>1597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544</v>
      </c>
      <c r="D568" s="217" t="s">
        <v>545</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546</v>
      </c>
      <c r="D569" s="217" t="s">
        <v>547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961</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962</v>
      </c>
      <c r="D571" s="68" t="s">
        <v>963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964</v>
      </c>
      <c r="D572" s="68" t="s">
        <v>965</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966</v>
      </c>
      <c r="D573" s="68" t="s">
        <v>142</v>
      </c>
      <c r="E573" s="142"/>
      <c r="F573" s="143"/>
      <c r="G573" s="142"/>
      <c r="H573" s="144">
        <f t="shared" si="68"/>
        <v>0</v>
      </c>
      <c r="I573" s="145"/>
      <c r="J573" s="145"/>
      <c r="K573" s="145"/>
      <c r="L573" s="49"/>
      <c r="M573" s="146"/>
      <c r="N573" s="146"/>
      <c r="O573" s="147"/>
      <c r="P573" s="25"/>
      <c r="Q573" s="22"/>
    </row>
    <row r="574" spans="1:16" ht="63" hidden="1">
      <c r="A574" s="544"/>
      <c r="B574" s="544"/>
      <c r="C574" s="135" t="s">
        <v>143</v>
      </c>
      <c r="D574" s="68" t="s">
        <v>1369</v>
      </c>
      <c r="E574" s="142"/>
      <c r="F574" s="143"/>
      <c r="G574" s="142"/>
      <c r="H574" s="144">
        <f t="shared" si="68"/>
        <v>0</v>
      </c>
      <c r="I574" s="145"/>
      <c r="J574" s="145"/>
      <c r="K574" s="145"/>
      <c r="L574" s="49"/>
      <c r="M574" s="146"/>
      <c r="N574" s="146"/>
      <c r="O574" s="147"/>
      <c r="P574" s="25"/>
    </row>
    <row r="575" spans="1:16" ht="15.75" hidden="1">
      <c r="A575" s="544"/>
      <c r="B575" s="544"/>
      <c r="C575" s="135"/>
      <c r="D575" s="68" t="s">
        <v>1370</v>
      </c>
      <c r="E575" s="142"/>
      <c r="F575" s="143"/>
      <c r="G575" s="142"/>
      <c r="H575" s="144">
        <f t="shared" si="68"/>
        <v>0</v>
      </c>
      <c r="I575" s="145"/>
      <c r="J575" s="145"/>
      <c r="K575" s="145"/>
      <c r="L575" s="49"/>
      <c r="M575" s="146"/>
      <c r="N575" s="146"/>
      <c r="O575" s="147"/>
      <c r="P575" s="25"/>
    </row>
    <row r="576" spans="1:16" ht="47.25" hidden="1">
      <c r="A576" s="544"/>
      <c r="B576" s="544"/>
      <c r="C576" s="135"/>
      <c r="D576" s="68" t="s">
        <v>1371</v>
      </c>
      <c r="E576" s="142"/>
      <c r="F576" s="143"/>
      <c r="G576" s="142"/>
      <c r="H576" s="144">
        <f t="shared" si="68"/>
        <v>0</v>
      </c>
      <c r="I576" s="145"/>
      <c r="J576" s="145"/>
      <c r="K576" s="145"/>
      <c r="L576" s="49"/>
      <c r="M576" s="146"/>
      <c r="N576" s="146"/>
      <c r="O576" s="147"/>
      <c r="P576" s="25"/>
    </row>
    <row r="577" spans="1:16" ht="47.25" hidden="1">
      <c r="A577" s="544"/>
      <c r="B577" s="544"/>
      <c r="C577" s="135"/>
      <c r="D577" s="68" t="s">
        <v>1372</v>
      </c>
      <c r="E577" s="142"/>
      <c r="F577" s="143"/>
      <c r="G577" s="142"/>
      <c r="H577" s="144">
        <f t="shared" si="68"/>
        <v>0</v>
      </c>
      <c r="I577" s="145"/>
      <c r="J577" s="145"/>
      <c r="K577" s="145"/>
      <c r="L577" s="49"/>
      <c r="M577" s="146"/>
      <c r="N577" s="146"/>
      <c r="O577" s="147"/>
      <c r="P577" s="25"/>
    </row>
    <row r="578" spans="1:16" ht="31.5" hidden="1">
      <c r="A578" s="544"/>
      <c r="B578" s="544"/>
      <c r="C578" s="135"/>
      <c r="D578" s="68" t="s">
        <v>570</v>
      </c>
      <c r="E578" s="142"/>
      <c r="F578" s="143"/>
      <c r="G578" s="142"/>
      <c r="H578" s="144">
        <f t="shared" si="68"/>
        <v>0</v>
      </c>
      <c r="I578" s="145"/>
      <c r="J578" s="145"/>
      <c r="K578" s="145"/>
      <c r="L578" s="49"/>
      <c r="M578" s="146"/>
      <c r="N578" s="146"/>
      <c r="O578" s="147"/>
      <c r="P578" s="25"/>
    </row>
    <row r="579" spans="1:16" ht="31.5" hidden="1">
      <c r="A579" s="544"/>
      <c r="B579" s="544"/>
      <c r="C579" s="135"/>
      <c r="D579" s="68" t="s">
        <v>571</v>
      </c>
      <c r="E579" s="142"/>
      <c r="F579" s="143"/>
      <c r="G579" s="142"/>
      <c r="H579" s="144">
        <f t="shared" si="68"/>
        <v>0</v>
      </c>
      <c r="I579" s="145"/>
      <c r="J579" s="145"/>
      <c r="K579" s="145"/>
      <c r="L579" s="49"/>
      <c r="M579" s="146"/>
      <c r="N579" s="146"/>
      <c r="O579" s="147"/>
      <c r="P579" s="25"/>
    </row>
    <row r="580" spans="1:16" ht="31.5" hidden="1">
      <c r="A580" s="544"/>
      <c r="B580" s="544"/>
      <c r="C580" s="135"/>
      <c r="D580" s="68" t="s">
        <v>1476</v>
      </c>
      <c r="E580" s="142"/>
      <c r="F580" s="143"/>
      <c r="G580" s="142"/>
      <c r="H580" s="144">
        <f t="shared" si="68"/>
        <v>0</v>
      </c>
      <c r="I580" s="145"/>
      <c r="J580" s="145"/>
      <c r="K580" s="145"/>
      <c r="L580" s="49"/>
      <c r="M580" s="146"/>
      <c r="N580" s="146"/>
      <c r="O580" s="147"/>
      <c r="P580" s="25"/>
    </row>
    <row r="581" spans="1:16" ht="31.5" hidden="1">
      <c r="A581" s="544"/>
      <c r="B581" s="544"/>
      <c r="C581" s="135"/>
      <c r="D581" s="68" t="s">
        <v>1477</v>
      </c>
      <c r="E581" s="142"/>
      <c r="F581" s="143"/>
      <c r="G581" s="142"/>
      <c r="H581" s="144">
        <f t="shared" si="68"/>
        <v>0</v>
      </c>
      <c r="I581" s="145"/>
      <c r="J581" s="145"/>
      <c r="K581" s="145"/>
      <c r="L581" s="49"/>
      <c r="M581" s="146"/>
      <c r="N581" s="146"/>
      <c r="O581" s="147"/>
      <c r="P581" s="25"/>
    </row>
    <row r="582" spans="1:16" ht="31.5" hidden="1">
      <c r="A582" s="544"/>
      <c r="B582" s="544"/>
      <c r="C582" s="135"/>
      <c r="D582" s="68" t="s">
        <v>1478</v>
      </c>
      <c r="E582" s="142"/>
      <c r="F582" s="143"/>
      <c r="G582" s="142"/>
      <c r="H582" s="144">
        <f t="shared" si="68"/>
        <v>0</v>
      </c>
      <c r="I582" s="145"/>
      <c r="J582" s="145"/>
      <c r="K582" s="145"/>
      <c r="L582" s="49"/>
      <c r="M582" s="146"/>
      <c r="N582" s="146"/>
      <c r="O582" s="147"/>
      <c r="P582" s="25"/>
    </row>
    <row r="583" spans="1:16" ht="47.25" hidden="1">
      <c r="A583" s="544"/>
      <c r="B583" s="544"/>
      <c r="C583" s="135"/>
      <c r="D583" s="68" t="s">
        <v>1479</v>
      </c>
      <c r="E583" s="142"/>
      <c r="F583" s="143"/>
      <c r="G583" s="142"/>
      <c r="H583" s="144">
        <f t="shared" si="68"/>
        <v>0</v>
      </c>
      <c r="I583" s="145"/>
      <c r="J583" s="145"/>
      <c r="K583" s="145"/>
      <c r="L583" s="49"/>
      <c r="M583" s="146"/>
      <c r="N583" s="146"/>
      <c r="O583" s="147"/>
      <c r="P583" s="25"/>
    </row>
    <row r="584" spans="1:16" ht="31.5" hidden="1">
      <c r="A584" s="544"/>
      <c r="B584" s="544"/>
      <c r="C584" s="135"/>
      <c r="D584" s="68" t="s">
        <v>1023</v>
      </c>
      <c r="E584" s="142"/>
      <c r="F584" s="143"/>
      <c r="G584" s="142"/>
      <c r="H584" s="144">
        <f t="shared" si="68"/>
        <v>0</v>
      </c>
      <c r="I584" s="145"/>
      <c r="J584" s="145"/>
      <c r="K584" s="145"/>
      <c r="L584" s="49"/>
      <c r="M584" s="146"/>
      <c r="N584" s="146"/>
      <c r="O584" s="147"/>
      <c r="P584" s="25"/>
    </row>
    <row r="585" spans="1:16" ht="15.75" hidden="1">
      <c r="A585" s="544"/>
      <c r="B585" s="544"/>
      <c r="C585" s="135"/>
      <c r="D585" s="68" t="s">
        <v>1024</v>
      </c>
      <c r="E585" s="142"/>
      <c r="F585" s="143"/>
      <c r="G585" s="142"/>
      <c r="H585" s="144">
        <f t="shared" si="68"/>
        <v>0</v>
      </c>
      <c r="I585" s="145"/>
      <c r="J585" s="145"/>
      <c r="K585" s="145"/>
      <c r="L585" s="49"/>
      <c r="M585" s="146"/>
      <c r="N585" s="146"/>
      <c r="O585" s="147"/>
      <c r="P585" s="25"/>
    </row>
    <row r="586" spans="1:16" ht="31.5" hidden="1">
      <c r="A586" s="544"/>
      <c r="B586" s="544"/>
      <c r="C586" s="135"/>
      <c r="D586" s="68" t="s">
        <v>1025</v>
      </c>
      <c r="E586" s="142"/>
      <c r="F586" s="143"/>
      <c r="G586" s="142"/>
      <c r="H586" s="144">
        <f t="shared" si="68"/>
        <v>0</v>
      </c>
      <c r="I586" s="145"/>
      <c r="J586" s="145"/>
      <c r="K586" s="145"/>
      <c r="L586" s="49"/>
      <c r="M586" s="146"/>
      <c r="N586" s="146"/>
      <c r="O586" s="147"/>
      <c r="P586" s="25"/>
    </row>
    <row r="587" spans="1:16" ht="31.5" hidden="1">
      <c r="A587" s="544"/>
      <c r="B587" s="544"/>
      <c r="C587" s="135"/>
      <c r="D587" s="68" t="s">
        <v>1026</v>
      </c>
      <c r="E587" s="142"/>
      <c r="F587" s="143"/>
      <c r="G587" s="142"/>
      <c r="H587" s="144">
        <f t="shared" si="68"/>
        <v>0</v>
      </c>
      <c r="I587" s="145"/>
      <c r="J587" s="145"/>
      <c r="K587" s="145"/>
      <c r="L587" s="49"/>
      <c r="M587" s="146"/>
      <c r="N587" s="146"/>
      <c r="O587" s="147"/>
      <c r="P587" s="25"/>
    </row>
    <row r="588" spans="1:16" ht="31.5" hidden="1">
      <c r="A588" s="544"/>
      <c r="B588" s="544"/>
      <c r="C588" s="135"/>
      <c r="D588" s="68" t="s">
        <v>1027</v>
      </c>
      <c r="E588" s="142"/>
      <c r="F588" s="143"/>
      <c r="G588" s="142"/>
      <c r="H588" s="144">
        <f t="shared" si="68"/>
        <v>0</v>
      </c>
      <c r="I588" s="145"/>
      <c r="J588" s="145"/>
      <c r="K588" s="145"/>
      <c r="L588" s="49"/>
      <c r="M588" s="146"/>
      <c r="N588" s="146"/>
      <c r="O588" s="147"/>
      <c r="P588" s="25"/>
    </row>
    <row r="589" spans="1:16" ht="31.5" hidden="1">
      <c r="A589" s="544"/>
      <c r="B589" s="544"/>
      <c r="C589" s="135"/>
      <c r="D589" s="68" t="s">
        <v>195</v>
      </c>
      <c r="E589" s="142"/>
      <c r="F589" s="143"/>
      <c r="G589" s="142"/>
      <c r="H589" s="144">
        <f t="shared" si="68"/>
        <v>0</v>
      </c>
      <c r="I589" s="145"/>
      <c r="J589" s="145"/>
      <c r="K589" s="145"/>
      <c r="L589" s="49"/>
      <c r="M589" s="146"/>
      <c r="N589" s="146"/>
      <c r="O589" s="147"/>
      <c r="P589" s="25"/>
    </row>
    <row r="590" spans="1:16" ht="31.5" hidden="1">
      <c r="A590" s="544"/>
      <c r="B590" s="544"/>
      <c r="C590" s="135"/>
      <c r="D590" s="68" t="s">
        <v>196</v>
      </c>
      <c r="E590" s="142"/>
      <c r="F590" s="143"/>
      <c r="G590" s="142"/>
      <c r="H590" s="144">
        <f t="shared" si="68"/>
        <v>0</v>
      </c>
      <c r="I590" s="145"/>
      <c r="J590" s="145"/>
      <c r="K590" s="145"/>
      <c r="L590" s="49"/>
      <c r="M590" s="146"/>
      <c r="N590" s="146"/>
      <c r="O590" s="147"/>
      <c r="P590" s="25"/>
    </row>
    <row r="591" spans="1:16" ht="31.5" hidden="1">
      <c r="A591" s="544"/>
      <c r="B591" s="544"/>
      <c r="C591" s="135"/>
      <c r="D591" s="68" t="s">
        <v>1443</v>
      </c>
      <c r="E591" s="142"/>
      <c r="F591" s="143"/>
      <c r="G591" s="142"/>
      <c r="H591" s="144">
        <f t="shared" si="68"/>
        <v>0</v>
      </c>
      <c r="I591" s="145"/>
      <c r="J591" s="145"/>
      <c r="K591" s="145"/>
      <c r="L591" s="49"/>
      <c r="M591" s="146"/>
      <c r="N591" s="146"/>
      <c r="O591" s="147"/>
      <c r="P591" s="25"/>
    </row>
    <row r="592" spans="1:16" ht="15.75" hidden="1">
      <c r="A592" s="544"/>
      <c r="B592" s="544"/>
      <c r="C592" s="135"/>
      <c r="D592" s="68" t="s">
        <v>1444</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1445</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1446</v>
      </c>
      <c r="D599" s="68" t="s">
        <v>1447</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1494</v>
      </c>
      <c r="C600" s="195"/>
      <c r="D600" s="216" t="s">
        <v>1597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1448</v>
      </c>
      <c r="D601" s="217" t="s">
        <v>1449</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1374</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1375</v>
      </c>
      <c r="D603" s="217" t="s">
        <v>167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851</v>
      </c>
      <c r="C604" s="267"/>
      <c r="D604" s="216" t="s">
        <v>1597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168</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169</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170</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171</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618</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1408</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636</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637</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1091</v>
      </c>
      <c r="C613" s="195"/>
      <c r="D613" s="216" t="s">
        <v>1597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638</v>
      </c>
      <c r="D614" s="14" t="s">
        <v>559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613</v>
      </c>
      <c r="D615" s="14" t="s">
        <v>614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958</v>
      </c>
      <c r="D616" s="14" t="s">
        <v>164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165</v>
      </c>
      <c r="D617" s="14" t="s">
        <v>166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1396</v>
      </c>
      <c r="D618" s="14" t="s">
        <v>1397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1398</v>
      </c>
      <c r="D619" s="14" t="s">
        <v>1399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1400</v>
      </c>
      <c r="D620" s="14" t="s">
        <v>1401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1402</v>
      </c>
      <c r="D621" s="14" t="s">
        <v>1403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1404</v>
      </c>
      <c r="D622" s="14" t="s">
        <v>1472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619</v>
      </c>
      <c r="D623" s="14" t="s">
        <v>620</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621</v>
      </c>
      <c r="D624" s="14" t="s">
        <v>622</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623</v>
      </c>
      <c r="D625" s="14" t="s">
        <v>624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625</v>
      </c>
      <c r="D626" s="14" t="s">
        <v>626</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627</v>
      </c>
      <c r="D627" s="14" t="s">
        <v>628</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629</v>
      </c>
      <c r="D628" s="14" t="s">
        <v>193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194</v>
      </c>
      <c r="D629" s="14" t="s">
        <v>189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190</v>
      </c>
      <c r="D630" s="14" t="s">
        <v>664</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665</v>
      </c>
      <c r="D631" s="14" t="s">
        <v>666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667</v>
      </c>
      <c r="D632" s="14" t="s">
        <v>668</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669</v>
      </c>
      <c r="D633" s="14" t="s">
        <v>1485</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1486</v>
      </c>
      <c r="D634" s="14" t="s">
        <v>1487</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1488</v>
      </c>
      <c r="D635" s="14" t="s">
        <v>1489</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1490</v>
      </c>
      <c r="D636" s="14" t="s">
        <v>289</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290</v>
      </c>
      <c r="D637" s="14" t="s">
        <v>283</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208</v>
      </c>
      <c r="D638" s="14" t="s">
        <v>209</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210</v>
      </c>
      <c r="D639" s="269" t="s">
        <v>211</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657</v>
      </c>
      <c r="D640" s="14" t="s">
        <v>658</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659</v>
      </c>
      <c r="D641" s="14" t="s">
        <v>660</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661</v>
      </c>
      <c r="D642" s="14" t="s">
        <v>670</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671</v>
      </c>
      <c r="D643" s="14" t="s">
        <v>672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673</v>
      </c>
      <c r="E644" s="142"/>
      <c r="F644" s="143"/>
      <c r="G644" s="142"/>
      <c r="H644" s="144">
        <f t="shared" si="79"/>
        <v>0</v>
      </c>
      <c r="I644" s="145"/>
      <c r="J644" s="145"/>
      <c r="K644" s="145"/>
      <c r="L644" s="49"/>
      <c r="M644" s="146"/>
      <c r="N644" s="146"/>
      <c r="O644" s="239"/>
      <c r="P644" s="25"/>
    </row>
    <row r="645" spans="1:16" ht="31.5" hidden="1">
      <c r="A645" s="512"/>
      <c r="B645" s="512"/>
      <c r="C645" s="266"/>
      <c r="D645" s="14" t="s">
        <v>674</v>
      </c>
      <c r="E645" s="142"/>
      <c r="F645" s="143"/>
      <c r="G645" s="142"/>
      <c r="H645" s="144">
        <f t="shared" si="79"/>
        <v>0</v>
      </c>
      <c r="I645" s="145"/>
      <c r="J645" s="145"/>
      <c r="K645" s="145"/>
      <c r="L645" s="49"/>
      <c r="M645" s="146"/>
      <c r="N645" s="146"/>
      <c r="O645" s="239"/>
      <c r="P645" s="25"/>
    </row>
    <row r="646" spans="1:16" ht="31.5" hidden="1">
      <c r="A646" s="512"/>
      <c r="B646" s="512"/>
      <c r="C646" s="266"/>
      <c r="D646" s="14" t="s">
        <v>675</v>
      </c>
      <c r="E646" s="142"/>
      <c r="F646" s="143"/>
      <c r="G646" s="142"/>
      <c r="H646" s="144">
        <f t="shared" si="79"/>
        <v>0</v>
      </c>
      <c r="I646" s="145"/>
      <c r="J646" s="145"/>
      <c r="K646" s="145"/>
      <c r="L646" s="49"/>
      <c r="M646" s="146"/>
      <c r="N646" s="146"/>
      <c r="O646" s="239"/>
      <c r="P646" s="25"/>
    </row>
    <row r="647" spans="1:16" ht="31.5" hidden="1">
      <c r="A647" s="512"/>
      <c r="B647" s="512"/>
      <c r="C647" s="266"/>
      <c r="D647" s="14" t="s">
        <v>676</v>
      </c>
      <c r="E647" s="142"/>
      <c r="F647" s="143"/>
      <c r="G647" s="142"/>
      <c r="H647" s="144">
        <f t="shared" si="79"/>
        <v>0</v>
      </c>
      <c r="I647" s="145"/>
      <c r="J647" s="145"/>
      <c r="K647" s="145"/>
      <c r="L647" s="49"/>
      <c r="M647" s="146"/>
      <c r="N647" s="146"/>
      <c r="O647" s="239"/>
      <c r="P647" s="25"/>
    </row>
    <row r="648" spans="1:16" ht="31.5" hidden="1">
      <c r="A648" s="512"/>
      <c r="B648" s="512"/>
      <c r="C648" s="266"/>
      <c r="D648" s="14" t="s">
        <v>1075</v>
      </c>
      <c r="E648" s="142"/>
      <c r="F648" s="143"/>
      <c r="G648" s="142"/>
      <c r="H648" s="144">
        <f t="shared" si="79"/>
        <v>0</v>
      </c>
      <c r="I648" s="145"/>
      <c r="J648" s="145"/>
      <c r="K648" s="145"/>
      <c r="L648" s="49"/>
      <c r="M648" s="146"/>
      <c r="N648" s="146"/>
      <c r="O648" s="239"/>
      <c r="P648" s="25"/>
    </row>
    <row r="649" spans="1:16" ht="47.25" hidden="1">
      <c r="A649" s="512"/>
      <c r="B649" s="512"/>
      <c r="C649" s="266"/>
      <c r="D649" s="14" t="s">
        <v>857</v>
      </c>
      <c r="E649" s="142"/>
      <c r="F649" s="143"/>
      <c r="G649" s="142"/>
      <c r="H649" s="144">
        <f t="shared" si="79"/>
        <v>0</v>
      </c>
      <c r="I649" s="145"/>
      <c r="J649" s="145"/>
      <c r="K649" s="145"/>
      <c r="L649" s="49"/>
      <c r="M649" s="146"/>
      <c r="N649" s="146"/>
      <c r="O649" s="239"/>
      <c r="P649" s="25"/>
    </row>
    <row r="650" spans="1:16" ht="18.75" hidden="1">
      <c r="A650" s="512"/>
      <c r="B650" s="512"/>
      <c r="C650" s="266" t="s">
        <v>1076</v>
      </c>
      <c r="D650" s="269" t="s">
        <v>1069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1070</v>
      </c>
      <c r="D651" s="269" t="s">
        <v>1071</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1072</v>
      </c>
      <c r="D652" s="269" t="s">
        <v>685</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686</v>
      </c>
      <c r="D653" s="14" t="s">
        <v>687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688</v>
      </c>
      <c r="D654" s="14" t="s">
        <v>689</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690</v>
      </c>
      <c r="D656" s="14" t="s">
        <v>691</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692</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74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169</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1544</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170</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516</v>
      </c>
      <c r="C663" s="270"/>
      <c r="D663" s="71" t="s">
        <v>1597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1545</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1546</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1547</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1548</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1367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1549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1550</v>
      </c>
      <c r="D670" s="271" t="s">
        <v>245</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693</v>
      </c>
      <c r="D671" s="271" t="s">
        <v>694</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695</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524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525</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475</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476</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121</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477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478</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33</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34</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75</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76</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77</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18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465</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1265</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1266</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1267</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1268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1269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1270</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415</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875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876</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877</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878</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879</v>
      </c>
      <c r="D698" s="73" t="s">
        <v>880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78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79</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80</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135</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136</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137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138</v>
      </c>
      <c r="D705" s="275" t="s">
        <v>144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145</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146</v>
      </c>
      <c r="D707" s="276" t="s">
        <v>147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148</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149</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554</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952</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953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954</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955</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956</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957</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939</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940</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1438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572</v>
      </c>
      <c r="D724" s="271" t="s">
        <v>573</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958</v>
      </c>
      <c r="D725" s="14" t="s">
        <v>574</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165</v>
      </c>
      <c r="D726" s="14" t="s">
        <v>575</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1400</v>
      </c>
      <c r="D727" s="14" t="s">
        <v>576</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621</v>
      </c>
      <c r="D728" s="14" t="s">
        <v>577</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1486</v>
      </c>
      <c r="D729" s="14" t="s">
        <v>1022</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627</v>
      </c>
      <c r="D730" s="14" t="s">
        <v>1441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1442</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1413</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1414</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1415</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599</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701</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702</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1557</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1558</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1559</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1560</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302</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303</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1541</v>
      </c>
      <c r="E744" s="142"/>
      <c r="F744" s="143"/>
      <c r="G744" s="142"/>
      <c r="H744" s="144">
        <f t="shared" si="85"/>
        <v>0</v>
      </c>
      <c r="I744" s="145"/>
      <c r="J744" s="145"/>
      <c r="K744" s="145"/>
      <c r="L744" s="49"/>
      <c r="M744" s="146"/>
      <c r="N744" s="146"/>
      <c r="O744" s="239"/>
      <c r="P744" s="25"/>
    </row>
    <row r="745" spans="1:16" ht="31.5" hidden="1">
      <c r="A745" s="512"/>
      <c r="B745" s="512"/>
      <c r="C745" s="135"/>
      <c r="D745" s="78" t="s">
        <v>320</v>
      </c>
      <c r="E745" s="142"/>
      <c r="F745" s="143"/>
      <c r="G745" s="142"/>
      <c r="H745" s="144">
        <f t="shared" si="85"/>
        <v>0</v>
      </c>
      <c r="I745" s="145"/>
      <c r="J745" s="145"/>
      <c r="K745" s="145"/>
      <c r="L745" s="49"/>
      <c r="M745" s="146"/>
      <c r="N745" s="146"/>
      <c r="O745" s="239"/>
      <c r="P745" s="25"/>
    </row>
    <row r="746" spans="1:16" ht="31.5" hidden="1">
      <c r="A746" s="512"/>
      <c r="B746" s="512"/>
      <c r="C746" s="135"/>
      <c r="D746" s="78" t="s">
        <v>393</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394</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395</v>
      </c>
      <c r="E748" s="142"/>
      <c r="F748" s="143"/>
      <c r="G748" s="142"/>
      <c r="H748" s="144">
        <f t="shared" si="85"/>
        <v>0</v>
      </c>
      <c r="I748" s="145"/>
      <c r="J748" s="145"/>
      <c r="K748" s="145"/>
      <c r="L748" s="49"/>
      <c r="M748" s="146"/>
      <c r="N748" s="146"/>
      <c r="O748" s="239"/>
      <c r="P748" s="25"/>
    </row>
    <row r="749" spans="1:16" ht="31.5" hidden="1">
      <c r="A749" s="512"/>
      <c r="B749" s="512"/>
      <c r="C749" s="135"/>
      <c r="D749" s="13" t="s">
        <v>396</v>
      </c>
      <c r="E749" s="142"/>
      <c r="F749" s="143"/>
      <c r="G749" s="142"/>
      <c r="H749" s="144">
        <f t="shared" si="85"/>
        <v>0</v>
      </c>
      <c r="I749" s="145"/>
      <c r="J749" s="145"/>
      <c r="K749" s="145"/>
      <c r="L749" s="49"/>
      <c r="M749" s="146"/>
      <c r="N749" s="146"/>
      <c r="O749" s="239"/>
      <c r="P749" s="25"/>
    </row>
    <row r="750" spans="1:16" ht="47.25" hidden="1">
      <c r="A750" s="512"/>
      <c r="B750" s="512"/>
      <c r="C750" s="135"/>
      <c r="D750" s="13" t="s">
        <v>466</v>
      </c>
      <c r="E750" s="142"/>
      <c r="F750" s="143"/>
      <c r="G750" s="142"/>
      <c r="H750" s="144">
        <f t="shared" si="85"/>
        <v>0</v>
      </c>
      <c r="I750" s="145"/>
      <c r="J750" s="145"/>
      <c r="K750" s="145"/>
      <c r="L750" s="49"/>
      <c r="M750" s="146"/>
      <c r="N750" s="146"/>
      <c r="O750" s="239"/>
      <c r="P750" s="25"/>
    </row>
    <row r="751" spans="1:16" ht="47.25" hidden="1">
      <c r="A751" s="512"/>
      <c r="B751" s="512"/>
      <c r="C751" s="135"/>
      <c r="D751" s="13" t="s">
        <v>467</v>
      </c>
      <c r="E751" s="142"/>
      <c r="F751" s="143"/>
      <c r="G751" s="142"/>
      <c r="H751" s="144">
        <f t="shared" si="85"/>
        <v>0</v>
      </c>
      <c r="I751" s="145"/>
      <c r="J751" s="145"/>
      <c r="K751" s="145"/>
      <c r="L751" s="49"/>
      <c r="M751" s="146"/>
      <c r="N751" s="146"/>
      <c r="O751" s="239"/>
      <c r="P751" s="25"/>
    </row>
    <row r="752" spans="1:16" ht="31.5" hidden="1">
      <c r="A752" s="512"/>
      <c r="B752" s="512"/>
      <c r="C752" s="135"/>
      <c r="D752" s="14" t="s">
        <v>1650</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372</v>
      </c>
      <c r="E753" s="142"/>
      <c r="F753" s="143"/>
      <c r="G753" s="142"/>
      <c r="H753" s="144">
        <f t="shared" si="87"/>
        <v>0</v>
      </c>
      <c r="I753" s="145"/>
      <c r="J753" s="145"/>
      <c r="K753" s="145"/>
      <c r="L753" s="49"/>
      <c r="M753" s="146"/>
      <c r="N753" s="146"/>
      <c r="O753" s="239"/>
      <c r="P753" s="25"/>
    </row>
    <row r="754" spans="1:16" ht="15.75" hidden="1">
      <c r="A754" s="512"/>
      <c r="B754" s="512"/>
      <c r="C754" s="135"/>
      <c r="D754" s="14" t="s">
        <v>412</v>
      </c>
      <c r="E754" s="142"/>
      <c r="F754" s="143"/>
      <c r="G754" s="142"/>
      <c r="H754" s="144">
        <f t="shared" si="87"/>
        <v>0</v>
      </c>
      <c r="I754" s="145"/>
      <c r="J754" s="145"/>
      <c r="K754" s="145"/>
      <c r="L754" s="49"/>
      <c r="M754" s="146"/>
      <c r="N754" s="146"/>
      <c r="O754" s="239"/>
      <c r="P754" s="25"/>
    </row>
    <row r="755" spans="1:16" ht="31.5" hidden="1">
      <c r="A755" s="512"/>
      <c r="B755" s="512"/>
      <c r="C755" s="135"/>
      <c r="D755" s="14" t="s">
        <v>413</v>
      </c>
      <c r="E755" s="142"/>
      <c r="F755" s="143"/>
      <c r="G755" s="142"/>
      <c r="H755" s="144">
        <f t="shared" si="87"/>
        <v>0</v>
      </c>
      <c r="I755" s="145"/>
      <c r="J755" s="145"/>
      <c r="K755" s="145"/>
      <c r="L755" s="49"/>
      <c r="M755" s="146"/>
      <c r="N755" s="146"/>
      <c r="O755" s="239"/>
      <c r="P755" s="25"/>
    </row>
    <row r="756" spans="1:16" ht="47.25" hidden="1">
      <c r="A756" s="512"/>
      <c r="B756" s="512"/>
      <c r="C756" s="135"/>
      <c r="D756" s="13" t="s">
        <v>414</v>
      </c>
      <c r="E756" s="142"/>
      <c r="F756" s="143"/>
      <c r="G756" s="142"/>
      <c r="H756" s="144">
        <f t="shared" si="87"/>
        <v>0</v>
      </c>
      <c r="I756" s="145"/>
      <c r="J756" s="145"/>
      <c r="K756" s="145"/>
      <c r="L756" s="49"/>
      <c r="M756" s="146"/>
      <c r="N756" s="146"/>
      <c r="O756" s="239"/>
      <c r="P756" s="25"/>
    </row>
    <row r="757" spans="1:16" ht="31.5" hidden="1">
      <c r="A757" s="512"/>
      <c r="B757" s="512"/>
      <c r="C757" s="135"/>
      <c r="D757" s="13" t="s">
        <v>1626</v>
      </c>
      <c r="E757" s="142"/>
      <c r="F757" s="143"/>
      <c r="G757" s="142"/>
      <c r="H757" s="144">
        <f t="shared" si="87"/>
        <v>0</v>
      </c>
      <c r="I757" s="145"/>
      <c r="J757" s="145"/>
      <c r="K757" s="145"/>
      <c r="L757" s="49"/>
      <c r="M757" s="146"/>
      <c r="N757" s="146"/>
      <c r="O757" s="239"/>
      <c r="P757" s="25"/>
    </row>
    <row r="758" spans="1:16" ht="31.5" hidden="1">
      <c r="A758" s="512"/>
      <c r="B758" s="512"/>
      <c r="C758" s="135"/>
      <c r="D758" s="13" t="s">
        <v>1627</v>
      </c>
      <c r="E758" s="142"/>
      <c r="F758" s="143"/>
      <c r="G758" s="142"/>
      <c r="H758" s="144">
        <f t="shared" si="87"/>
        <v>0</v>
      </c>
      <c r="I758" s="145"/>
      <c r="J758" s="145"/>
      <c r="K758" s="145"/>
      <c r="L758" s="49"/>
      <c r="M758" s="146"/>
      <c r="N758" s="146"/>
      <c r="O758" s="239"/>
      <c r="P758" s="25"/>
    </row>
    <row r="759" spans="1:16" ht="15.75" hidden="1">
      <c r="A759" s="512"/>
      <c r="B759" s="512"/>
      <c r="C759" s="135"/>
      <c r="D759" s="14" t="s">
        <v>1628</v>
      </c>
      <c r="E759" s="142"/>
      <c r="F759" s="143"/>
      <c r="G759" s="142"/>
      <c r="H759" s="144">
        <f t="shared" si="87"/>
        <v>0</v>
      </c>
      <c r="I759" s="145"/>
      <c r="J759" s="145"/>
      <c r="K759" s="145"/>
      <c r="L759" s="49"/>
      <c r="M759" s="146"/>
      <c r="N759" s="146"/>
      <c r="O759" s="239"/>
      <c r="P759" s="25"/>
    </row>
    <row r="760" spans="1:16" ht="47.25" hidden="1">
      <c r="A760" s="512"/>
      <c r="B760" s="512"/>
      <c r="C760" s="135"/>
      <c r="D760" s="13" t="s">
        <v>443</v>
      </c>
      <c r="E760" s="142"/>
      <c r="F760" s="143"/>
      <c r="G760" s="142"/>
      <c r="H760" s="144">
        <f t="shared" si="87"/>
        <v>0</v>
      </c>
      <c r="I760" s="145"/>
      <c r="J760" s="145"/>
      <c r="K760" s="145"/>
      <c r="L760" s="49"/>
      <c r="M760" s="146"/>
      <c r="N760" s="146"/>
      <c r="O760" s="239"/>
      <c r="P760" s="25"/>
    </row>
    <row r="761" spans="1:16" ht="15.75" hidden="1">
      <c r="A761" s="512"/>
      <c r="B761" s="512"/>
      <c r="C761" s="135"/>
      <c r="D761" s="80" t="s">
        <v>418</v>
      </c>
      <c r="E761" s="142"/>
      <c r="F761" s="143"/>
      <c r="G761" s="142"/>
      <c r="H761" s="144">
        <f t="shared" si="87"/>
        <v>0</v>
      </c>
      <c r="I761" s="145"/>
      <c r="J761" s="145"/>
      <c r="K761" s="145"/>
      <c r="L761" s="49"/>
      <c r="M761" s="146"/>
      <c r="N761" s="146"/>
      <c r="O761" s="239"/>
      <c r="P761" s="25"/>
    </row>
    <row r="762" spans="1:16" ht="15.75" hidden="1">
      <c r="A762" s="512"/>
      <c r="B762" s="512"/>
      <c r="C762" s="135"/>
      <c r="D762" s="79" t="s">
        <v>419</v>
      </c>
      <c r="E762" s="142"/>
      <c r="F762" s="143"/>
      <c r="G762" s="142"/>
      <c r="H762" s="144">
        <f t="shared" si="87"/>
        <v>0</v>
      </c>
      <c r="I762" s="145"/>
      <c r="J762" s="145"/>
      <c r="K762" s="145"/>
      <c r="L762" s="49"/>
      <c r="M762" s="146"/>
      <c r="N762" s="146"/>
      <c r="O762" s="239"/>
      <c r="P762" s="25"/>
    </row>
    <row r="763" spans="1:16" ht="31.5" hidden="1">
      <c r="A763" s="512"/>
      <c r="B763" s="512"/>
      <c r="C763" s="135"/>
      <c r="D763" s="13" t="s">
        <v>1641</v>
      </c>
      <c r="E763" s="142"/>
      <c r="F763" s="143"/>
      <c r="G763" s="142"/>
      <c r="H763" s="144">
        <f t="shared" si="87"/>
        <v>0</v>
      </c>
      <c r="I763" s="145"/>
      <c r="J763" s="145"/>
      <c r="K763" s="145"/>
      <c r="L763" s="49"/>
      <c r="M763" s="146"/>
      <c r="N763" s="146"/>
      <c r="O763" s="239"/>
      <c r="P763" s="25"/>
    </row>
    <row r="764" spans="1:16" ht="31.5" hidden="1">
      <c r="A764" s="512"/>
      <c r="B764" s="512"/>
      <c r="C764" s="135"/>
      <c r="D764" s="13" t="s">
        <v>1642</v>
      </c>
      <c r="E764" s="142"/>
      <c r="F764" s="143"/>
      <c r="G764" s="142"/>
      <c r="H764" s="144">
        <f t="shared" si="87"/>
        <v>0</v>
      </c>
      <c r="I764" s="145"/>
      <c r="J764" s="145"/>
      <c r="K764" s="145"/>
      <c r="L764" s="49"/>
      <c r="M764" s="146"/>
      <c r="N764" s="146"/>
      <c r="O764" s="239"/>
      <c r="P764" s="25"/>
    </row>
    <row r="765" spans="1:16" ht="47.25" hidden="1">
      <c r="A765" s="512"/>
      <c r="B765" s="512"/>
      <c r="C765" s="135"/>
      <c r="D765" s="79" t="s">
        <v>1643</v>
      </c>
      <c r="E765" s="142"/>
      <c r="F765" s="143"/>
      <c r="G765" s="142"/>
      <c r="H765" s="144">
        <f t="shared" si="87"/>
        <v>0</v>
      </c>
      <c r="I765" s="145"/>
      <c r="J765" s="145"/>
      <c r="K765" s="145"/>
      <c r="L765" s="49"/>
      <c r="M765" s="146"/>
      <c r="N765" s="146"/>
      <c r="O765" s="239"/>
      <c r="P765" s="25"/>
    </row>
    <row r="766" spans="1:16" ht="47.25" hidden="1">
      <c r="A766" s="512"/>
      <c r="B766" s="512"/>
      <c r="C766" s="135"/>
      <c r="D766" s="79" t="s">
        <v>815</v>
      </c>
      <c r="E766" s="142"/>
      <c r="F766" s="143"/>
      <c r="G766" s="142"/>
      <c r="H766" s="144">
        <f t="shared" si="87"/>
        <v>0</v>
      </c>
      <c r="I766" s="145"/>
      <c r="J766" s="145"/>
      <c r="K766" s="145"/>
      <c r="L766" s="49"/>
      <c r="M766" s="146"/>
      <c r="N766" s="146"/>
      <c r="O766" s="239"/>
      <c r="P766" s="25"/>
    </row>
    <row r="767" spans="1:16" ht="31.5" hidden="1">
      <c r="A767" s="512"/>
      <c r="B767" s="512"/>
      <c r="C767" s="135"/>
      <c r="D767" s="81" t="s">
        <v>816</v>
      </c>
      <c r="E767" s="142"/>
      <c r="F767" s="143"/>
      <c r="G767" s="142"/>
      <c r="H767" s="144">
        <f t="shared" si="87"/>
        <v>0</v>
      </c>
      <c r="I767" s="145"/>
      <c r="J767" s="145"/>
      <c r="K767" s="145"/>
      <c r="L767" s="49"/>
      <c r="M767" s="146"/>
      <c r="N767" s="146"/>
      <c r="O767" s="239"/>
      <c r="P767" s="25"/>
    </row>
    <row r="768" spans="1:16" ht="47.25" hidden="1">
      <c r="A768" s="512"/>
      <c r="B768" s="512"/>
      <c r="C768" s="135"/>
      <c r="D768" s="13" t="s">
        <v>1625</v>
      </c>
      <c r="E768" s="142"/>
      <c r="F768" s="143"/>
      <c r="G768" s="142"/>
      <c r="H768" s="144">
        <f t="shared" si="87"/>
        <v>0</v>
      </c>
      <c r="I768" s="145"/>
      <c r="J768" s="145"/>
      <c r="K768" s="145"/>
      <c r="L768" s="49"/>
      <c r="M768" s="146"/>
      <c r="N768" s="146"/>
      <c r="O768" s="239"/>
      <c r="P768" s="25"/>
    </row>
    <row r="769" spans="1:16" ht="47.25" hidden="1">
      <c r="A769" s="512"/>
      <c r="B769" s="512"/>
      <c r="C769" s="135"/>
      <c r="D769" s="13" t="s">
        <v>429</v>
      </c>
      <c r="E769" s="142"/>
      <c r="F769" s="143"/>
      <c r="G769" s="142"/>
      <c r="H769" s="144">
        <f t="shared" si="87"/>
        <v>0</v>
      </c>
      <c r="I769" s="145"/>
      <c r="J769" s="145"/>
      <c r="K769" s="145"/>
      <c r="L769" s="49"/>
      <c r="M769" s="146"/>
      <c r="N769" s="146"/>
      <c r="O769" s="239"/>
      <c r="P769" s="25"/>
    </row>
    <row r="770" spans="1:16" ht="31.5" hidden="1">
      <c r="A770" s="512"/>
      <c r="B770" s="512"/>
      <c r="C770" s="135"/>
      <c r="D770" s="13" t="s">
        <v>430</v>
      </c>
      <c r="E770" s="142"/>
      <c r="F770" s="143"/>
      <c r="G770" s="142"/>
      <c r="H770" s="144">
        <f t="shared" si="87"/>
        <v>0</v>
      </c>
      <c r="I770" s="145"/>
      <c r="J770" s="145"/>
      <c r="K770" s="145"/>
      <c r="L770" s="49"/>
      <c r="M770" s="146"/>
      <c r="N770" s="146"/>
      <c r="O770" s="239"/>
      <c r="P770" s="25"/>
    </row>
    <row r="771" spans="1:16" ht="31.5" hidden="1">
      <c r="A771" s="512"/>
      <c r="B771" s="512"/>
      <c r="C771" s="135"/>
      <c r="D771" s="13" t="s">
        <v>373</v>
      </c>
      <c r="E771" s="142"/>
      <c r="F771" s="143"/>
      <c r="G771" s="142"/>
      <c r="H771" s="144">
        <f t="shared" si="87"/>
        <v>0</v>
      </c>
      <c r="I771" s="145"/>
      <c r="J771" s="145"/>
      <c r="K771" s="145"/>
      <c r="L771" s="49"/>
      <c r="M771" s="146"/>
      <c r="N771" s="146"/>
      <c r="O771" s="239"/>
      <c r="P771" s="25"/>
    </row>
    <row r="772" spans="1:16" ht="31.5" hidden="1">
      <c r="A772" s="512"/>
      <c r="B772" s="512"/>
      <c r="C772" s="135"/>
      <c r="D772" s="13" t="s">
        <v>374</v>
      </c>
      <c r="E772" s="142"/>
      <c r="F772" s="143"/>
      <c r="G772" s="142"/>
      <c r="H772" s="144">
        <f t="shared" si="87"/>
        <v>0</v>
      </c>
      <c r="I772" s="145"/>
      <c r="J772" s="145"/>
      <c r="K772" s="145"/>
      <c r="L772" s="49"/>
      <c r="M772" s="146"/>
      <c r="N772" s="146"/>
      <c r="O772" s="239"/>
      <c r="P772" s="25"/>
    </row>
    <row r="773" spans="1:16" ht="31.5" hidden="1">
      <c r="A773" s="512"/>
      <c r="B773" s="512"/>
      <c r="C773" s="135"/>
      <c r="D773" s="13" t="s">
        <v>375</v>
      </c>
      <c r="E773" s="142"/>
      <c r="F773" s="143"/>
      <c r="G773" s="142"/>
      <c r="H773" s="144">
        <f t="shared" si="87"/>
        <v>0</v>
      </c>
      <c r="I773" s="145"/>
      <c r="J773" s="145"/>
      <c r="K773" s="145"/>
      <c r="L773" s="49"/>
      <c r="M773" s="146"/>
      <c r="N773" s="146"/>
      <c r="O773" s="239"/>
      <c r="P773" s="25"/>
    </row>
    <row r="774" spans="1:16" ht="15.75" hidden="1">
      <c r="A774" s="512"/>
      <c r="B774" s="512"/>
      <c r="C774" s="135"/>
      <c r="D774" s="13" t="s">
        <v>376</v>
      </c>
      <c r="E774" s="142"/>
      <c r="F774" s="143"/>
      <c r="G774" s="142"/>
      <c r="H774" s="144">
        <f t="shared" si="87"/>
        <v>0</v>
      </c>
      <c r="I774" s="145"/>
      <c r="J774" s="145"/>
      <c r="K774" s="145"/>
      <c r="L774" s="49"/>
      <c r="M774" s="146"/>
      <c r="N774" s="146"/>
      <c r="O774" s="239"/>
      <c r="P774" s="25"/>
    </row>
    <row r="775" spans="1:16" ht="31.5" hidden="1">
      <c r="A775" s="512"/>
      <c r="B775" s="512"/>
      <c r="C775" s="135"/>
      <c r="D775" s="13" t="s">
        <v>844</v>
      </c>
      <c r="E775" s="142"/>
      <c r="F775" s="143"/>
      <c r="G775" s="142"/>
      <c r="H775" s="144">
        <f t="shared" si="87"/>
        <v>0</v>
      </c>
      <c r="I775" s="145"/>
      <c r="J775" s="145"/>
      <c r="K775" s="145"/>
      <c r="L775" s="49"/>
      <c r="M775" s="146"/>
      <c r="N775" s="146"/>
      <c r="O775" s="239"/>
      <c r="P775" s="25"/>
    </row>
    <row r="776" spans="1:16" ht="31.5" hidden="1">
      <c r="A776" s="512"/>
      <c r="B776" s="512"/>
      <c r="C776" s="135"/>
      <c r="D776" s="13" t="s">
        <v>1248</v>
      </c>
      <c r="E776" s="142"/>
      <c r="F776" s="143"/>
      <c r="G776" s="142"/>
      <c r="H776" s="144">
        <f t="shared" si="87"/>
        <v>0</v>
      </c>
      <c r="I776" s="145"/>
      <c r="J776" s="145"/>
      <c r="K776" s="145"/>
      <c r="L776" s="49"/>
      <c r="M776" s="146"/>
      <c r="N776" s="146"/>
      <c r="O776" s="239"/>
      <c r="P776" s="25"/>
    </row>
    <row r="777" spans="1:16" ht="31.5" hidden="1">
      <c r="A777" s="512"/>
      <c r="B777" s="512"/>
      <c r="C777" s="135"/>
      <c r="D777" s="13" t="s">
        <v>1651</v>
      </c>
      <c r="E777" s="142"/>
      <c r="F777" s="143"/>
      <c r="G777" s="142"/>
      <c r="H777" s="144">
        <f t="shared" si="87"/>
        <v>0</v>
      </c>
      <c r="I777" s="145"/>
      <c r="J777" s="145"/>
      <c r="K777" s="145"/>
      <c r="L777" s="49"/>
      <c r="M777" s="146"/>
      <c r="N777" s="146"/>
      <c r="O777" s="239"/>
      <c r="P777" s="25"/>
    </row>
    <row r="778" spans="1:16" ht="31.5" hidden="1">
      <c r="A778" s="512"/>
      <c r="B778" s="512"/>
      <c r="C778" s="135"/>
      <c r="D778" s="13" t="s">
        <v>1652</v>
      </c>
      <c r="E778" s="142"/>
      <c r="F778" s="143"/>
      <c r="G778" s="142"/>
      <c r="H778" s="144">
        <f t="shared" si="87"/>
        <v>0</v>
      </c>
      <c r="I778" s="145"/>
      <c r="J778" s="145"/>
      <c r="K778" s="145"/>
      <c r="L778" s="49"/>
      <c r="M778" s="146"/>
      <c r="N778" s="146"/>
      <c r="O778" s="239"/>
      <c r="P778" s="25"/>
    </row>
    <row r="779" spans="1:16" ht="31.5" hidden="1">
      <c r="A779" s="512"/>
      <c r="B779" s="512"/>
      <c r="C779" s="135"/>
      <c r="D779" s="13" t="s">
        <v>886</v>
      </c>
      <c r="E779" s="142"/>
      <c r="F779" s="143"/>
      <c r="G779" s="142"/>
      <c r="H779" s="144">
        <f t="shared" si="87"/>
        <v>0</v>
      </c>
      <c r="I779" s="145"/>
      <c r="J779" s="145"/>
      <c r="K779" s="145"/>
      <c r="L779" s="49"/>
      <c r="M779" s="146"/>
      <c r="N779" s="146"/>
      <c r="O779" s="239"/>
      <c r="P779" s="25"/>
    </row>
    <row r="780" spans="1:16" ht="31.5" hidden="1">
      <c r="A780" s="512"/>
      <c r="B780" s="512"/>
      <c r="C780" s="135"/>
      <c r="D780" s="13" t="s">
        <v>887</v>
      </c>
      <c r="E780" s="142"/>
      <c r="F780" s="143"/>
      <c r="G780" s="142"/>
      <c r="H780" s="144">
        <f t="shared" si="87"/>
        <v>0</v>
      </c>
      <c r="I780" s="145"/>
      <c r="J780" s="145"/>
      <c r="K780" s="145"/>
      <c r="L780" s="49"/>
      <c r="M780" s="146"/>
      <c r="N780" s="146"/>
      <c r="O780" s="239"/>
      <c r="P780" s="25"/>
    </row>
    <row r="781" spans="1:16" ht="31.5" hidden="1">
      <c r="A781" s="512"/>
      <c r="B781" s="512"/>
      <c r="C781" s="135"/>
      <c r="D781" s="13" t="s">
        <v>416</v>
      </c>
      <c r="E781" s="142"/>
      <c r="F781" s="143"/>
      <c r="G781" s="142"/>
      <c r="H781" s="144">
        <f t="shared" si="87"/>
        <v>0</v>
      </c>
      <c r="I781" s="145"/>
      <c r="J781" s="145"/>
      <c r="K781" s="145"/>
      <c r="L781" s="49"/>
      <c r="M781" s="146"/>
      <c r="N781" s="146"/>
      <c r="O781" s="239"/>
      <c r="P781" s="25"/>
    </row>
    <row r="782" spans="1:16" ht="15.75" hidden="1">
      <c r="A782" s="512"/>
      <c r="B782" s="512"/>
      <c r="C782" s="135"/>
      <c r="D782" s="13" t="s">
        <v>32</v>
      </c>
      <c r="E782" s="142"/>
      <c r="F782" s="143"/>
      <c r="G782" s="142"/>
      <c r="H782" s="144">
        <f t="shared" si="87"/>
        <v>0</v>
      </c>
      <c r="I782" s="145"/>
      <c r="J782" s="145"/>
      <c r="K782" s="145"/>
      <c r="L782" s="49"/>
      <c r="M782" s="146"/>
      <c r="N782" s="146"/>
      <c r="O782" s="239"/>
      <c r="P782" s="25"/>
    </row>
    <row r="783" spans="1:16" ht="15.75" hidden="1">
      <c r="A783" s="512"/>
      <c r="B783" s="512"/>
      <c r="C783" s="135"/>
      <c r="D783" s="13" t="s">
        <v>856</v>
      </c>
      <c r="E783" s="142"/>
      <c r="F783" s="143"/>
      <c r="G783" s="142"/>
      <c r="H783" s="144">
        <f t="shared" si="87"/>
        <v>0</v>
      </c>
      <c r="I783" s="145"/>
      <c r="J783" s="145"/>
      <c r="K783" s="145"/>
      <c r="L783" s="49"/>
      <c r="M783" s="146"/>
      <c r="N783" s="146"/>
      <c r="O783" s="239"/>
      <c r="P783" s="25"/>
    </row>
    <row r="784" spans="1:16" ht="31.5" hidden="1">
      <c r="A784" s="512"/>
      <c r="B784" s="512"/>
      <c r="C784" s="135"/>
      <c r="D784" s="13" t="s">
        <v>708</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709</v>
      </c>
      <c r="E785" s="142"/>
      <c r="F785" s="143"/>
      <c r="G785" s="142"/>
      <c r="H785" s="144">
        <f t="shared" si="88"/>
        <v>0</v>
      </c>
      <c r="I785" s="145"/>
      <c r="J785" s="145"/>
      <c r="K785" s="145"/>
      <c r="L785" s="49"/>
      <c r="M785" s="146"/>
      <c r="N785" s="146"/>
      <c r="O785" s="239"/>
      <c r="P785" s="25"/>
    </row>
    <row r="786" spans="1:16" ht="31.5" hidden="1">
      <c r="A786" s="512"/>
      <c r="B786" s="512"/>
      <c r="C786" s="135"/>
      <c r="D786" s="13" t="s">
        <v>710</v>
      </c>
      <c r="E786" s="142"/>
      <c r="F786" s="143"/>
      <c r="G786" s="142"/>
      <c r="H786" s="144">
        <f t="shared" si="88"/>
        <v>0</v>
      </c>
      <c r="I786" s="145"/>
      <c r="J786" s="145"/>
      <c r="K786" s="145"/>
      <c r="L786" s="49"/>
      <c r="M786" s="146"/>
      <c r="N786" s="146"/>
      <c r="O786" s="239"/>
      <c r="P786" s="25"/>
    </row>
    <row r="787" spans="1:16" ht="31.5" hidden="1">
      <c r="A787" s="512"/>
      <c r="B787" s="512"/>
      <c r="C787" s="135"/>
      <c r="D787" s="13" t="s">
        <v>711</v>
      </c>
      <c r="E787" s="142"/>
      <c r="F787" s="143"/>
      <c r="G787" s="142"/>
      <c r="H787" s="144">
        <f t="shared" si="88"/>
        <v>0</v>
      </c>
      <c r="I787" s="145"/>
      <c r="J787" s="145"/>
      <c r="K787" s="145"/>
      <c r="L787" s="49"/>
      <c r="M787" s="146"/>
      <c r="N787" s="146"/>
      <c r="O787" s="239"/>
      <c r="P787" s="25"/>
    </row>
    <row r="788" spans="1:16" ht="31.5" hidden="1">
      <c r="A788" s="512"/>
      <c r="B788" s="512"/>
      <c r="C788" s="135"/>
      <c r="D788" s="13" t="s">
        <v>712</v>
      </c>
      <c r="E788" s="142"/>
      <c r="F788" s="143"/>
      <c r="G788" s="142"/>
      <c r="H788" s="144">
        <f t="shared" si="88"/>
        <v>0</v>
      </c>
      <c r="I788" s="145"/>
      <c r="J788" s="145"/>
      <c r="K788" s="145"/>
      <c r="L788" s="49"/>
      <c r="M788" s="146"/>
      <c r="N788" s="146"/>
      <c r="O788" s="239"/>
      <c r="P788" s="25"/>
    </row>
    <row r="789" spans="1:16" ht="31.5" hidden="1">
      <c r="A789" s="512"/>
      <c r="B789" s="512"/>
      <c r="C789" s="135"/>
      <c r="D789" s="14" t="s">
        <v>713</v>
      </c>
      <c r="E789" s="142"/>
      <c r="F789" s="143"/>
      <c r="G789" s="142"/>
      <c r="H789" s="144">
        <f t="shared" si="88"/>
        <v>0</v>
      </c>
      <c r="I789" s="145"/>
      <c r="J789" s="145"/>
      <c r="K789" s="145"/>
      <c r="L789" s="49"/>
      <c r="M789" s="146"/>
      <c r="N789" s="146"/>
      <c r="O789" s="239"/>
      <c r="P789" s="25"/>
    </row>
    <row r="790" spans="1:16" ht="31.5" hidden="1">
      <c r="A790" s="512"/>
      <c r="B790" s="512"/>
      <c r="C790" s="135"/>
      <c r="D790" s="14" t="s">
        <v>714</v>
      </c>
      <c r="E790" s="142"/>
      <c r="F790" s="143"/>
      <c r="G790" s="142"/>
      <c r="H790" s="144">
        <f t="shared" si="88"/>
        <v>0</v>
      </c>
      <c r="I790" s="145"/>
      <c r="J790" s="145"/>
      <c r="K790" s="145"/>
      <c r="L790" s="49"/>
      <c r="M790" s="146"/>
      <c r="N790" s="146"/>
      <c r="O790" s="239"/>
      <c r="P790" s="25"/>
    </row>
    <row r="791" spans="1:16" ht="31.5" hidden="1">
      <c r="A791" s="512"/>
      <c r="B791" s="512"/>
      <c r="C791" s="135"/>
      <c r="D791" s="13" t="s">
        <v>1563</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733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734</v>
      </c>
      <c r="D816" s="276" t="s">
        <v>735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736</v>
      </c>
      <c r="D817" s="276" t="s">
        <v>120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737</v>
      </c>
      <c r="D818" s="276" t="s">
        <v>738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133</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739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740</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737</v>
      </c>
      <c r="D822" s="285" t="s">
        <v>741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742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743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744</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737</v>
      </c>
      <c r="D826" s="285" t="s">
        <v>741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156</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745</v>
      </c>
      <c r="C828" s="195"/>
      <c r="D828" s="216" t="s">
        <v>1597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746</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747</v>
      </c>
      <c r="D830" s="269" t="s">
        <v>1131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61</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1154</v>
      </c>
      <c r="B833" s="538" t="s">
        <v>1599</v>
      </c>
      <c r="C833" s="195"/>
      <c r="D833" s="136" t="s">
        <v>1597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1132</v>
      </c>
      <c r="D834" s="141" t="s">
        <v>1133</v>
      </c>
      <c r="E834" s="142"/>
      <c r="F834" s="143"/>
      <c r="G834" s="142"/>
      <c r="H834" s="144">
        <f t="shared" si="91"/>
        <v>0</v>
      </c>
      <c r="I834" s="145"/>
      <c r="J834" s="145"/>
      <c r="K834" s="145"/>
      <c r="L834" s="145"/>
      <c r="M834" s="146"/>
      <c r="N834" s="146"/>
      <c r="O834" s="239"/>
      <c r="P834" s="25" t="s">
        <v>1134</v>
      </c>
      <c r="Q834" s="22"/>
    </row>
    <row r="835" spans="1:17" s="45" customFormat="1" ht="15.75" hidden="1">
      <c r="A835" s="536"/>
      <c r="B835" s="512"/>
      <c r="C835" s="135" t="s">
        <v>1135</v>
      </c>
      <c r="D835" s="141" t="s">
        <v>1136</v>
      </c>
      <c r="E835" s="142"/>
      <c r="F835" s="143"/>
      <c r="G835" s="142"/>
      <c r="H835" s="144">
        <f t="shared" si="91"/>
        <v>0</v>
      </c>
      <c r="I835" s="145"/>
      <c r="J835" s="145"/>
      <c r="K835" s="145"/>
      <c r="L835" s="145"/>
      <c r="M835" s="146"/>
      <c r="N835" s="146"/>
      <c r="O835" s="239"/>
      <c r="P835" s="25" t="s">
        <v>1134</v>
      </c>
      <c r="Q835" s="22"/>
    </row>
    <row r="836" spans="1:17" s="45" customFormat="1" ht="31.5" hidden="1">
      <c r="A836" s="536"/>
      <c r="B836" s="512"/>
      <c r="C836" s="135" t="s">
        <v>1137</v>
      </c>
      <c r="D836" s="141" t="s">
        <v>1138</v>
      </c>
      <c r="E836" s="142"/>
      <c r="F836" s="143"/>
      <c r="G836" s="142"/>
      <c r="H836" s="144">
        <f t="shared" si="91"/>
        <v>0</v>
      </c>
      <c r="I836" s="145"/>
      <c r="J836" s="145"/>
      <c r="K836" s="145"/>
      <c r="L836" s="145"/>
      <c r="M836" s="146"/>
      <c r="N836" s="146"/>
      <c r="O836" s="239"/>
      <c r="P836" s="25" t="s">
        <v>1134</v>
      </c>
      <c r="Q836" s="22"/>
    </row>
    <row r="837" spans="1:17" s="45" customFormat="1" ht="31.5">
      <c r="A837" s="517"/>
      <c r="B837" s="517"/>
      <c r="C837" s="135" t="s">
        <v>370</v>
      </c>
      <c r="D837" s="141" t="s">
        <v>1538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539</v>
      </c>
      <c r="D838" s="141" t="s">
        <v>540</v>
      </c>
      <c r="E838" s="142"/>
      <c r="F838" s="143"/>
      <c r="G838" s="142"/>
      <c r="H838" s="144">
        <f t="shared" si="91"/>
        <v>0</v>
      </c>
      <c r="I838" s="301">
        <f>73.9-73.9</f>
        <v>0</v>
      </c>
      <c r="J838" s="145"/>
      <c r="K838" s="145"/>
      <c r="L838" s="145"/>
      <c r="M838" s="146"/>
      <c r="N838" s="146"/>
      <c r="O838" s="239"/>
      <c r="P838" s="25"/>
      <c r="Q838" s="22"/>
    </row>
    <row r="839" spans="1:63" s="28" customFormat="1" ht="15.75">
      <c r="A839" s="535" t="s">
        <v>985</v>
      </c>
      <c r="B839" s="538" t="s">
        <v>986</v>
      </c>
      <c r="C839" s="195"/>
      <c r="D839" s="136" t="s">
        <v>538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1139</v>
      </c>
      <c r="D840" s="141" t="s">
        <v>1140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987</v>
      </c>
      <c r="B841" s="544" t="s">
        <v>1636</v>
      </c>
      <c r="C841" s="195"/>
      <c r="D841" s="136" t="s">
        <v>1597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1141</v>
      </c>
      <c r="D842" s="14" t="s">
        <v>1179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1180</v>
      </c>
      <c r="D843" s="14" t="s">
        <v>1181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1182</v>
      </c>
      <c r="D844" s="14" t="s">
        <v>1607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267</v>
      </c>
      <c r="D845" s="14" t="s">
        <v>268</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269</v>
      </c>
      <c r="D846" s="14" t="s">
        <v>270</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980</v>
      </c>
      <c r="B847" s="544" t="s">
        <v>1117</v>
      </c>
      <c r="C847" s="195"/>
      <c r="D847" s="136" t="s">
        <v>1597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271</v>
      </c>
      <c r="D848" s="141" t="s">
        <v>258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1364</v>
      </c>
      <c r="B849" s="538" t="s">
        <v>528</v>
      </c>
      <c r="C849" s="195"/>
      <c r="D849" s="136" t="s">
        <v>1597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1073</v>
      </c>
      <c r="D850" s="141" t="s">
        <v>943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536</v>
      </c>
      <c r="E851" s="142"/>
      <c r="F851" s="143"/>
      <c r="G851" s="142"/>
      <c r="H851" s="144">
        <f t="shared" si="91"/>
        <v>0</v>
      </c>
      <c r="I851" s="145"/>
      <c r="J851" s="145"/>
      <c r="K851" s="145"/>
      <c r="L851" s="145"/>
      <c r="M851" s="146"/>
      <c r="N851" s="146"/>
      <c r="O851" s="239"/>
      <c r="P851" s="25"/>
    </row>
    <row r="852" spans="1:17" s="30" customFormat="1" ht="15.75">
      <c r="A852" s="538">
        <v>100203</v>
      </c>
      <c r="B852" s="538" t="s">
        <v>851</v>
      </c>
      <c r="C852" s="195"/>
      <c r="D852" s="136" t="s">
        <v>1597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944</v>
      </c>
      <c r="D853" s="83" t="s">
        <v>139</v>
      </c>
      <c r="E853" s="142"/>
      <c r="F853" s="143"/>
      <c r="G853" s="142"/>
      <c r="H853" s="144">
        <f t="shared" si="91"/>
        <v>0</v>
      </c>
      <c r="I853" s="145"/>
      <c r="J853" s="145"/>
      <c r="K853" s="145"/>
      <c r="L853" s="84"/>
      <c r="M853" s="146"/>
      <c r="N853" s="146"/>
      <c r="O853" s="239"/>
      <c r="P853" s="25"/>
    </row>
    <row r="854" spans="1:16" ht="31.5" hidden="1">
      <c r="A854" s="512"/>
      <c r="B854" s="512"/>
      <c r="C854" s="135" t="s">
        <v>945</v>
      </c>
      <c r="D854" s="83" t="s">
        <v>587</v>
      </c>
      <c r="E854" s="142"/>
      <c r="F854" s="143"/>
      <c r="G854" s="142"/>
      <c r="H854" s="144">
        <f t="shared" si="91"/>
        <v>0</v>
      </c>
      <c r="I854" s="145"/>
      <c r="J854" s="145"/>
      <c r="K854" s="145"/>
      <c r="L854" s="84"/>
      <c r="M854" s="146"/>
      <c r="N854" s="146"/>
      <c r="O854" s="239"/>
      <c r="P854" s="25"/>
    </row>
    <row r="855" spans="1:16" ht="31.5" customHeight="1" hidden="1">
      <c r="A855" s="512"/>
      <c r="B855" s="512"/>
      <c r="C855" s="135" t="s">
        <v>588</v>
      </c>
      <c r="D855" s="83" t="s">
        <v>589</v>
      </c>
      <c r="E855" s="142"/>
      <c r="F855" s="143"/>
      <c r="G855" s="142"/>
      <c r="H855" s="144">
        <f t="shared" si="91"/>
        <v>0</v>
      </c>
      <c r="I855" s="145"/>
      <c r="J855" s="145"/>
      <c r="K855" s="145"/>
      <c r="L855" s="84"/>
      <c r="M855" s="146"/>
      <c r="N855" s="146"/>
      <c r="O855" s="239"/>
      <c r="P855" s="25"/>
    </row>
    <row r="856" spans="1:16" ht="15.75" customHeight="1" hidden="1">
      <c r="A856" s="512"/>
      <c r="B856" s="512"/>
      <c r="C856" s="135" t="s">
        <v>590</v>
      </c>
      <c r="D856" s="141" t="s">
        <v>591</v>
      </c>
      <c r="E856" s="142"/>
      <c r="F856" s="143"/>
      <c r="G856" s="142"/>
      <c r="H856" s="144">
        <f t="shared" si="91"/>
        <v>0</v>
      </c>
      <c r="I856" s="145"/>
      <c r="J856" s="145"/>
      <c r="K856" s="145"/>
      <c r="L856" s="145"/>
      <c r="M856" s="146"/>
      <c r="N856" s="146"/>
      <c r="O856" s="239"/>
      <c r="P856" s="25"/>
    </row>
    <row r="857" spans="1:16" ht="31.5" customHeight="1" hidden="1">
      <c r="A857" s="512"/>
      <c r="B857" s="512"/>
      <c r="C857" s="135" t="s">
        <v>592</v>
      </c>
      <c r="D857" s="14" t="s">
        <v>593</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594</v>
      </c>
      <c r="D858" s="14" t="s">
        <v>595</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596</v>
      </c>
      <c r="D859" s="14" t="s">
        <v>597</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598</v>
      </c>
      <c r="E860" s="142"/>
      <c r="F860" s="143"/>
      <c r="G860" s="142"/>
      <c r="H860" s="144">
        <f t="shared" si="91"/>
        <v>0</v>
      </c>
      <c r="I860" s="145"/>
      <c r="J860" s="145"/>
      <c r="K860" s="145"/>
      <c r="L860" s="85"/>
      <c r="M860" s="146"/>
      <c r="N860" s="146"/>
      <c r="O860" s="239"/>
      <c r="P860" s="25"/>
    </row>
    <row r="861" spans="1:16" ht="47.25">
      <c r="A861" s="517"/>
      <c r="B861" s="517"/>
      <c r="C861" s="135"/>
      <c r="D861" s="14" t="s">
        <v>993</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994</v>
      </c>
      <c r="E864" s="142"/>
      <c r="F864" s="143"/>
      <c r="G864" s="142"/>
      <c r="H864" s="144">
        <f t="shared" si="91"/>
        <v>0</v>
      </c>
      <c r="I864" s="145"/>
      <c r="J864" s="145"/>
      <c r="K864" s="145"/>
      <c r="L864" s="85"/>
      <c r="M864" s="146"/>
      <c r="N864" s="146"/>
      <c r="O864" s="239"/>
      <c r="P864" s="25"/>
    </row>
    <row r="865" spans="1:17" s="30" customFormat="1" ht="15.75" hidden="1">
      <c r="A865" s="538">
        <v>110204</v>
      </c>
      <c r="B865" s="538" t="s">
        <v>1552</v>
      </c>
      <c r="C865" s="195"/>
      <c r="D865" s="71" t="s">
        <v>1597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995</v>
      </c>
      <c r="D866" s="14" t="s">
        <v>996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1553</v>
      </c>
      <c r="C867" s="195"/>
      <c r="D867" s="71" t="s">
        <v>538</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997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1089</v>
      </c>
      <c r="C869" s="195"/>
      <c r="D869" s="71" t="s">
        <v>1597</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654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655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1091</v>
      </c>
      <c r="C872" s="195"/>
      <c r="D872" s="216" t="s">
        <v>1597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656</v>
      </c>
      <c r="D873" s="141" t="s">
        <v>1483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1484</v>
      </c>
      <c r="D874" s="141" t="s">
        <v>293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997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294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295</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296</v>
      </c>
      <c r="D878" s="141" t="s">
        <v>297</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298</v>
      </c>
      <c r="D879" s="141" t="s">
        <v>299</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1108</v>
      </c>
      <c r="E880" s="292"/>
      <c r="F880" s="143"/>
      <c r="G880" s="292"/>
      <c r="H880" s="307">
        <f t="shared" si="98"/>
        <v>0</v>
      </c>
      <c r="I880" s="308"/>
      <c r="J880" s="308"/>
      <c r="K880" s="308"/>
      <c r="L880" s="308"/>
      <c r="M880" s="309"/>
      <c r="N880" s="309"/>
      <c r="O880" s="147"/>
      <c r="P880" s="25"/>
    </row>
    <row r="881" spans="1:16" ht="47.25">
      <c r="A881" s="569"/>
      <c r="B881" s="569"/>
      <c r="C881" s="306" t="s">
        <v>1109</v>
      </c>
      <c r="D881" s="217" t="s">
        <v>431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432</v>
      </c>
      <c r="D882" s="13" t="s">
        <v>433</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434</v>
      </c>
      <c r="D883" s="311" t="s">
        <v>435</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436</v>
      </c>
      <c r="D884" s="311" t="s">
        <v>437</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866</v>
      </c>
      <c r="D885" s="311" t="s">
        <v>867</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868</v>
      </c>
      <c r="D886" s="311" t="s">
        <v>831</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832</v>
      </c>
      <c r="D887" s="311" t="s">
        <v>16</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17</v>
      </c>
      <c r="D888" s="311" t="s">
        <v>784</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785</v>
      </c>
      <c r="D889" s="311" t="s">
        <v>786</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787</v>
      </c>
      <c r="D890" s="311" t="s">
        <v>788</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789</v>
      </c>
      <c r="D891" s="311" t="s">
        <v>790</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791</v>
      </c>
      <c r="D892" s="311" t="s">
        <v>792</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793</v>
      </c>
      <c r="D893" s="14" t="s">
        <v>794</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404</v>
      </c>
      <c r="D894" s="14" t="s">
        <v>1259</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1260</v>
      </c>
      <c r="D895" s="14" t="s">
        <v>1261</v>
      </c>
      <c r="E895" s="292"/>
      <c r="F895" s="143"/>
      <c r="G895" s="292"/>
      <c r="H895" s="307">
        <f t="shared" si="98"/>
        <v>0</v>
      </c>
      <c r="I895" s="308"/>
      <c r="J895" s="308"/>
      <c r="K895" s="308"/>
      <c r="L895" s="85"/>
      <c r="M895" s="309"/>
      <c r="N895" s="309"/>
      <c r="O895" s="309"/>
      <c r="P895" s="25"/>
    </row>
    <row r="896" spans="1:16" ht="31.5">
      <c r="A896" s="569"/>
      <c r="B896" s="569"/>
      <c r="C896" s="577" t="s">
        <v>1262</v>
      </c>
      <c r="D896" s="14" t="s">
        <v>1170</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1171</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317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318</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319</v>
      </c>
      <c r="D900" s="14" t="s">
        <v>1194</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1195</v>
      </c>
      <c r="D901" s="14" t="s">
        <v>1196</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1197</v>
      </c>
      <c r="D902" s="14" t="s">
        <v>1198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1212</v>
      </c>
      <c r="D903" s="14" t="s">
        <v>1183</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1184</v>
      </c>
      <c r="D904" s="14" t="s">
        <v>1185</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1186</v>
      </c>
      <c r="D905" s="14" t="s">
        <v>795</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796</v>
      </c>
      <c r="D906" s="14" t="s">
        <v>797</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798</v>
      </c>
      <c r="D907" s="14" t="s">
        <v>799</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800</v>
      </c>
      <c r="D908" s="14" t="s">
        <v>801</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802</v>
      </c>
      <c r="D909" s="14" t="s">
        <v>803</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804</v>
      </c>
      <c r="D910" s="88" t="s">
        <v>805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806</v>
      </c>
      <c r="E911" s="292"/>
      <c r="F911" s="143"/>
      <c r="G911" s="292"/>
      <c r="H911" s="307">
        <f t="shared" si="103"/>
        <v>0</v>
      </c>
      <c r="I911" s="308"/>
      <c r="J911" s="308"/>
      <c r="K911" s="308"/>
      <c r="L911" s="89"/>
      <c r="M911" s="309"/>
      <c r="N911" s="309"/>
      <c r="O911" s="309"/>
      <c r="P911" s="25"/>
    </row>
    <row r="912" spans="1:16" ht="47.25" hidden="1">
      <c r="A912" s="569"/>
      <c r="B912" s="569"/>
      <c r="C912" s="266"/>
      <c r="D912" s="88" t="s">
        <v>257</v>
      </c>
      <c r="E912" s="292"/>
      <c r="F912" s="143"/>
      <c r="G912" s="292"/>
      <c r="H912" s="307">
        <f t="shared" si="103"/>
        <v>0</v>
      </c>
      <c r="I912" s="308"/>
      <c r="J912" s="308"/>
      <c r="K912" s="308"/>
      <c r="L912" s="89"/>
      <c r="M912" s="309"/>
      <c r="N912" s="309"/>
      <c r="O912" s="309"/>
      <c r="P912" s="25"/>
    </row>
    <row r="913" spans="1:16" ht="31.5" hidden="1">
      <c r="A913" s="569"/>
      <c r="B913" s="569"/>
      <c r="C913" s="266"/>
      <c r="D913" s="88" t="s">
        <v>794</v>
      </c>
      <c r="E913" s="292"/>
      <c r="F913" s="143"/>
      <c r="G913" s="292"/>
      <c r="H913" s="307">
        <f t="shared" si="103"/>
        <v>0</v>
      </c>
      <c r="I913" s="308"/>
      <c r="J913" s="308"/>
      <c r="K913" s="308"/>
      <c r="L913" s="89"/>
      <c r="M913" s="309"/>
      <c r="N913" s="309"/>
      <c r="O913" s="309"/>
      <c r="P913" s="25"/>
    </row>
    <row r="914" spans="1:16" ht="31.5" hidden="1">
      <c r="A914" s="569"/>
      <c r="B914" s="569"/>
      <c r="C914" s="266"/>
      <c r="D914" s="88" t="s">
        <v>644</v>
      </c>
      <c r="E914" s="292"/>
      <c r="F914" s="143"/>
      <c r="G914" s="292"/>
      <c r="H914" s="307">
        <f t="shared" si="103"/>
        <v>0</v>
      </c>
      <c r="I914" s="308"/>
      <c r="J914" s="308"/>
      <c r="K914" s="308"/>
      <c r="L914" s="89"/>
      <c r="M914" s="309"/>
      <c r="N914" s="309"/>
      <c r="O914" s="309"/>
      <c r="P914" s="25"/>
    </row>
    <row r="915" spans="1:16" ht="31.5" hidden="1">
      <c r="A915" s="569"/>
      <c r="B915" s="569"/>
      <c r="C915" s="266" t="s">
        <v>645</v>
      </c>
      <c r="D915" s="88" t="s">
        <v>1033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1034</v>
      </c>
      <c r="D916" s="14" t="s">
        <v>1035</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1036</v>
      </c>
      <c r="D917" s="14" t="s">
        <v>212</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662</v>
      </c>
      <c r="D918" s="14" t="s">
        <v>1517</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1518</v>
      </c>
      <c r="D919" s="14" t="s">
        <v>728</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729</v>
      </c>
      <c r="D920" s="14" t="s">
        <v>730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731</v>
      </c>
      <c r="D921" s="14" t="s">
        <v>813</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814</v>
      </c>
      <c r="D922" s="14" t="s">
        <v>1142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1143</v>
      </c>
      <c r="D924" s="14" t="s">
        <v>1144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1145</v>
      </c>
      <c r="D925" s="14" t="s">
        <v>1146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1147</v>
      </c>
      <c r="D926" s="14" t="s">
        <v>1148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1149</v>
      </c>
      <c r="D927" s="14" t="s">
        <v>1150</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1151</v>
      </c>
      <c r="D928" s="14" t="s">
        <v>315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316</v>
      </c>
      <c r="D929" s="14" t="s">
        <v>1213</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1214</v>
      </c>
      <c r="D930" s="14" t="s">
        <v>1215</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1216</v>
      </c>
      <c r="D931" s="14" t="s">
        <v>1217</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1218</v>
      </c>
      <c r="D932" s="14" t="s">
        <v>1226</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1227</v>
      </c>
      <c r="D933" s="14" t="s">
        <v>1228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1229</v>
      </c>
      <c r="D935" s="14" t="s">
        <v>1230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1307</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1308</v>
      </c>
      <c r="D937" s="14" t="s">
        <v>1309</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555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857</v>
      </c>
      <c r="E939" s="292"/>
      <c r="F939" s="143"/>
      <c r="G939" s="292"/>
      <c r="H939" s="307">
        <f t="shared" si="107"/>
        <v>0</v>
      </c>
      <c r="I939" s="308"/>
      <c r="J939" s="308"/>
      <c r="K939" s="308"/>
      <c r="L939" s="318"/>
      <c r="M939" s="309"/>
      <c r="N939" s="309"/>
      <c r="O939" s="309"/>
      <c r="P939" s="25"/>
    </row>
    <row r="940" spans="1:16" ht="31.5">
      <c r="A940" s="569"/>
      <c r="B940" s="569"/>
      <c r="C940" s="306"/>
      <c r="D940" s="14" t="s">
        <v>1324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1373</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566</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1096</v>
      </c>
      <c r="C943" s="267"/>
      <c r="D943" s="71" t="s">
        <v>1597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567</v>
      </c>
      <c r="D944" s="14" t="s">
        <v>580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581</v>
      </c>
      <c r="D945" s="14" t="s">
        <v>582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583</v>
      </c>
      <c r="D946" s="14" t="s">
        <v>578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1430</v>
      </c>
      <c r="C947" s="270"/>
      <c r="D947" s="71" t="s">
        <v>1597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833</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111</v>
      </c>
      <c r="C949" s="321"/>
      <c r="D949" s="71" t="s">
        <v>1597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112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516</v>
      </c>
      <c r="C951" s="323"/>
      <c r="D951" s="216" t="s">
        <v>1597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579</v>
      </c>
      <c r="D952" s="324" t="s">
        <v>1439</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1440</v>
      </c>
      <c r="D953" s="324" t="s">
        <v>184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185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946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947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948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949</v>
      </c>
      <c r="D958" s="14" t="s">
        <v>950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951</v>
      </c>
      <c r="D959" s="14" t="s">
        <v>921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922</v>
      </c>
      <c r="D960" s="14" t="s">
        <v>923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924</v>
      </c>
      <c r="D961" s="14" t="s">
        <v>925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926</v>
      </c>
      <c r="D962" s="83" t="s">
        <v>927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959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928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1231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1606</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1101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1102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280</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281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1155</v>
      </c>
      <c r="E971" s="292"/>
      <c r="F971" s="143"/>
      <c r="G971" s="292"/>
      <c r="H971" s="307">
        <f t="shared" si="112"/>
        <v>0</v>
      </c>
      <c r="I971" s="308"/>
      <c r="J971" s="308"/>
      <c r="K971" s="308"/>
      <c r="L971" s="318"/>
      <c r="M971" s="309"/>
      <c r="N971" s="309"/>
      <c r="O971" s="309"/>
      <c r="P971" s="25"/>
    </row>
    <row r="972" spans="1:16" ht="15.75" hidden="1">
      <c r="A972" s="569"/>
      <c r="B972" s="512"/>
      <c r="C972" s="325"/>
      <c r="D972" s="83" t="s">
        <v>1237</v>
      </c>
      <c r="E972" s="292"/>
      <c r="F972" s="143"/>
      <c r="G972" s="292"/>
      <c r="H972" s="307">
        <f t="shared" si="112"/>
        <v>0</v>
      </c>
      <c r="I972" s="308"/>
      <c r="J972" s="308"/>
      <c r="K972" s="308"/>
      <c r="L972" s="318"/>
      <c r="M972" s="309"/>
      <c r="N972" s="309"/>
      <c r="O972" s="309"/>
      <c r="P972" s="25"/>
    </row>
    <row r="973" spans="1:16" ht="31.5" hidden="1">
      <c r="A973" s="569"/>
      <c r="B973" s="512"/>
      <c r="C973" s="325"/>
      <c r="D973" s="83" t="s">
        <v>1238</v>
      </c>
      <c r="E973" s="292"/>
      <c r="F973" s="143"/>
      <c r="G973" s="292"/>
      <c r="H973" s="307">
        <f t="shared" si="112"/>
        <v>0</v>
      </c>
      <c r="I973" s="308"/>
      <c r="J973" s="308"/>
      <c r="K973" s="308"/>
      <c r="L973" s="318"/>
      <c r="M973" s="309"/>
      <c r="N973" s="309"/>
      <c r="O973" s="309"/>
      <c r="P973" s="25"/>
    </row>
    <row r="974" spans="1:16" ht="31.5" hidden="1">
      <c r="A974" s="569"/>
      <c r="B974" s="512"/>
      <c r="C974" s="325"/>
      <c r="D974" s="83" t="s">
        <v>1228</v>
      </c>
      <c r="E974" s="292"/>
      <c r="F974" s="143"/>
      <c r="G974" s="292"/>
      <c r="H974" s="307">
        <f t="shared" si="112"/>
        <v>0</v>
      </c>
      <c r="I974" s="308"/>
      <c r="J974" s="308"/>
      <c r="K974" s="308"/>
      <c r="L974" s="318"/>
      <c r="M974" s="309"/>
      <c r="N974" s="309"/>
      <c r="O974" s="309"/>
      <c r="P974" s="25"/>
    </row>
    <row r="975" spans="1:16" ht="15.75" hidden="1">
      <c r="A975" s="576"/>
      <c r="B975" s="516"/>
      <c r="C975" s="325"/>
      <c r="D975" s="83" t="s">
        <v>1239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1077</v>
      </c>
      <c r="C977" s="306"/>
      <c r="D977" s="14" t="s">
        <v>417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1493</v>
      </c>
      <c r="C978" s="306"/>
      <c r="D978" s="14" t="s">
        <v>481</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697</v>
      </c>
      <c r="C979" s="195"/>
      <c r="D979" s="216" t="s">
        <v>1597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917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918</v>
      </c>
      <c r="D981" s="240" t="s">
        <v>919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920</v>
      </c>
      <c r="D982" s="354" t="s">
        <v>122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123</v>
      </c>
      <c r="D983" s="75" t="s">
        <v>124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125</v>
      </c>
      <c r="D984" s="75" t="s">
        <v>1391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1392</v>
      </c>
      <c r="D985" s="75" t="s">
        <v>1393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1394</v>
      </c>
      <c r="D986" s="75" t="s">
        <v>1395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898</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899</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900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901</v>
      </c>
      <c r="D990" s="217" t="s">
        <v>902</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903</v>
      </c>
      <c r="E991" s="142"/>
      <c r="F991" s="143"/>
      <c r="G991" s="142"/>
      <c r="H991" s="307">
        <f t="shared" si="116"/>
        <v>0</v>
      </c>
      <c r="I991" s="145"/>
      <c r="J991" s="145"/>
      <c r="K991" s="145"/>
      <c r="L991" s="145"/>
      <c r="M991" s="182"/>
      <c r="N991" s="146"/>
      <c r="O991" s="147"/>
      <c r="P991" s="25"/>
      <c r="Q991" s="22"/>
    </row>
    <row r="992" spans="1:16" ht="31.5">
      <c r="A992" s="569"/>
      <c r="B992" s="569"/>
      <c r="C992" s="218" t="s">
        <v>904</v>
      </c>
      <c r="D992" s="240" t="s">
        <v>905</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906</v>
      </c>
      <c r="D993" s="240" t="s">
        <v>907</v>
      </c>
      <c r="E993" s="142"/>
      <c r="F993" s="143"/>
      <c r="G993" s="142"/>
      <c r="H993" s="307">
        <f t="shared" si="116"/>
        <v>0</v>
      </c>
      <c r="I993" s="145"/>
      <c r="J993" s="145"/>
      <c r="K993" s="145"/>
      <c r="L993" s="145"/>
      <c r="M993" s="182"/>
      <c r="N993" s="146"/>
      <c r="O993" s="147"/>
      <c r="P993" s="25"/>
    </row>
    <row r="994" spans="1:16" ht="47.25" hidden="1">
      <c r="A994" s="569"/>
      <c r="B994" s="569"/>
      <c r="C994" s="218" t="s">
        <v>1292</v>
      </c>
      <c r="D994" s="240" t="s">
        <v>639</v>
      </c>
      <c r="E994" s="142"/>
      <c r="F994" s="143"/>
      <c r="G994" s="142"/>
      <c r="H994" s="307">
        <f t="shared" si="116"/>
        <v>0</v>
      </c>
      <c r="I994" s="145"/>
      <c r="J994" s="145"/>
      <c r="K994" s="145"/>
      <c r="L994" s="145"/>
      <c r="M994" s="182"/>
      <c r="N994" s="146"/>
      <c r="O994" s="147"/>
      <c r="P994" s="25"/>
    </row>
    <row r="995" spans="1:16" ht="31.5" hidden="1">
      <c r="A995" s="569"/>
      <c r="B995" s="569"/>
      <c r="C995" s="218" t="s">
        <v>640</v>
      </c>
      <c r="D995" s="240" t="s">
        <v>641</v>
      </c>
      <c r="E995" s="142"/>
      <c r="F995" s="143"/>
      <c r="G995" s="142"/>
      <c r="H995" s="307">
        <f t="shared" si="116"/>
        <v>0</v>
      </c>
      <c r="I995" s="145"/>
      <c r="J995" s="145"/>
      <c r="K995" s="145"/>
      <c r="L995" s="145"/>
      <c r="M995" s="182"/>
      <c r="N995" s="146"/>
      <c r="O995" s="147"/>
      <c r="P995" s="25"/>
    </row>
    <row r="996" spans="1:16" ht="15.75" hidden="1">
      <c r="A996" s="569"/>
      <c r="B996" s="569"/>
      <c r="C996" s="218" t="s">
        <v>642</v>
      </c>
      <c r="D996" s="240" t="s">
        <v>643</v>
      </c>
      <c r="E996" s="142"/>
      <c r="F996" s="143"/>
      <c r="G996" s="142"/>
      <c r="H996" s="307">
        <f t="shared" si="116"/>
        <v>0</v>
      </c>
      <c r="I996" s="145"/>
      <c r="J996" s="145"/>
      <c r="K996" s="145"/>
      <c r="L996" s="145"/>
      <c r="M996" s="182"/>
      <c r="N996" s="146"/>
      <c r="O996" s="147"/>
      <c r="P996" s="25"/>
    </row>
    <row r="997" spans="1:16" ht="15.75">
      <c r="A997" s="569"/>
      <c r="B997" s="569"/>
      <c r="C997" s="218"/>
      <c r="D997" s="75" t="s">
        <v>834</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835</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630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1067</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1068</v>
      </c>
      <c r="E1001" s="292"/>
      <c r="F1001" s="335"/>
      <c r="G1001" s="292"/>
      <c r="H1001" s="307">
        <f t="shared" si="116"/>
        <v>0</v>
      </c>
      <c r="I1001" s="308"/>
      <c r="J1001" s="308"/>
      <c r="K1001" s="308"/>
      <c r="L1001" s="308"/>
      <c r="M1001" s="309"/>
      <c r="N1001" s="309"/>
      <c r="O1001" s="147"/>
      <c r="P1001" s="25"/>
    </row>
    <row r="1002" spans="1:16" ht="15.75" hidden="1">
      <c r="A1002" s="569"/>
      <c r="B1002" s="569"/>
      <c r="C1002" s="333" t="s">
        <v>1515</v>
      </c>
      <c r="D1002" s="271" t="s">
        <v>1516</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275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276</v>
      </c>
      <c r="D1004" s="217" t="s">
        <v>277</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278</v>
      </c>
      <c r="D1005" s="271" t="s">
        <v>650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651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60</v>
      </c>
      <c r="B1008" s="545" t="s">
        <v>1366</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130</v>
      </c>
      <c r="B1009" s="538" t="s">
        <v>1077</v>
      </c>
      <c r="C1009" s="337"/>
      <c r="D1009" s="136" t="s">
        <v>1597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113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881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1431</v>
      </c>
      <c r="B1012" s="166" t="s">
        <v>696</v>
      </c>
      <c r="C1012" s="337"/>
      <c r="D1012" s="141" t="s">
        <v>1302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652</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1154</v>
      </c>
      <c r="B1015" s="538" t="s">
        <v>1599</v>
      </c>
      <c r="C1015" s="195"/>
      <c r="D1015" s="136" t="s">
        <v>1597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653</v>
      </c>
      <c r="D1016" s="141" t="s">
        <v>1465</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1466</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1467</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1468</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1469</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1470</v>
      </c>
      <c r="D1029" s="141" t="s">
        <v>1471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370</v>
      </c>
      <c r="D1030" s="141" t="s">
        <v>371</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1430</v>
      </c>
      <c r="C1031" s="195"/>
      <c r="D1031" s="136" t="s">
        <v>1597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1412</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197</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198</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199</v>
      </c>
      <c r="D1035" s="141" t="s">
        <v>200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1365</v>
      </c>
      <c r="B1036" s="538" t="s">
        <v>1367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201</v>
      </c>
      <c r="D1037" s="225" t="s">
        <v>202</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203</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1092</v>
      </c>
      <c r="B1039" s="538" t="s">
        <v>697</v>
      </c>
      <c r="C1039" s="267"/>
      <c r="D1039" s="168" t="s">
        <v>204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201</v>
      </c>
      <c r="D1040" s="271" t="s">
        <v>205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60</v>
      </c>
      <c r="B1042" s="545" t="s">
        <v>1366</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1154</v>
      </c>
      <c r="B1043" s="544" t="s">
        <v>1599</v>
      </c>
      <c r="C1043" s="195"/>
      <c r="D1043" s="216" t="s">
        <v>1597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370</v>
      </c>
      <c r="D1044" s="141" t="s">
        <v>371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696</v>
      </c>
      <c r="C1045" s="167" t="s">
        <v>206</v>
      </c>
      <c r="D1045" s="168" t="s">
        <v>1453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1454</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80"/>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N3" sqref="N1:Y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493" t="s">
        <v>207</v>
      </c>
      <c r="B1" s="493"/>
      <c r="C1" s="493"/>
      <c r="D1" s="493"/>
      <c r="E1" s="493"/>
      <c r="F1" s="493"/>
      <c r="G1" s="493"/>
      <c r="H1" s="493"/>
      <c r="I1" s="493"/>
      <c r="J1" s="493"/>
      <c r="K1" s="493"/>
      <c r="L1" s="493"/>
      <c r="M1" s="493"/>
    </row>
    <row r="2" spans="1:13" ht="18.75" hidden="1">
      <c r="A2" s="111"/>
      <c r="B2" s="111"/>
      <c r="C2" s="112"/>
      <c r="D2" s="113"/>
      <c r="E2" s="111"/>
      <c r="F2" s="111"/>
      <c r="G2" s="111"/>
      <c r="H2" s="415"/>
      <c r="I2" s="391" t="s">
        <v>992</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1000</v>
      </c>
      <c r="B4" s="585" t="s">
        <v>1459</v>
      </c>
      <c r="C4" s="585"/>
      <c r="D4" s="585"/>
      <c r="E4" s="585"/>
      <c r="F4" s="585"/>
      <c r="G4" s="585"/>
      <c r="H4" s="585"/>
      <c r="I4" s="478" t="s">
        <v>1460</v>
      </c>
      <c r="J4" s="478"/>
      <c r="K4" s="170"/>
      <c r="L4" s="478"/>
      <c r="M4" s="479"/>
      <c r="N4" s="403" t="s">
        <v>1049</v>
      </c>
      <c r="O4" s="404" t="s">
        <v>1050</v>
      </c>
      <c r="P4" s="405" t="s">
        <v>1051</v>
      </c>
      <c r="Q4" s="405" t="s">
        <v>1052</v>
      </c>
      <c r="R4" s="405" t="s">
        <v>1053</v>
      </c>
      <c r="S4" s="405" t="s">
        <v>1054</v>
      </c>
      <c r="T4" s="405" t="s">
        <v>1055</v>
      </c>
      <c r="U4" s="405" t="s">
        <v>1056</v>
      </c>
      <c r="V4" s="405" t="s">
        <v>1057</v>
      </c>
      <c r="W4" s="405" t="s">
        <v>1058</v>
      </c>
      <c r="X4" s="405" t="s">
        <v>1059</v>
      </c>
      <c r="Y4" s="405" t="s">
        <v>1060</v>
      </c>
      <c r="Z4" s="482" t="s">
        <v>66</v>
      </c>
    </row>
    <row r="5" spans="1:26" ht="36.75" customHeight="1">
      <c r="A5" s="399">
        <v>31030000</v>
      </c>
      <c r="B5" s="599" t="s">
        <v>246</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599" t="s">
        <v>247</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600" t="s">
        <v>1046</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f>
        <v>260314.61</v>
      </c>
    </row>
    <row r="8" spans="1:26" ht="18.75" customHeight="1">
      <c r="A8" s="401">
        <v>18050000</v>
      </c>
      <c r="B8" s="600" t="s">
        <v>1047</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f>
        <v>50088054.31</v>
      </c>
    </row>
    <row r="9" spans="1:26" ht="18.75" customHeight="1">
      <c r="A9" s="402">
        <v>24170000</v>
      </c>
      <c r="B9" s="599" t="s">
        <v>1048</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f>
        <v>977239.41</v>
      </c>
    </row>
    <row r="10" spans="1:61" s="460" customFormat="1" ht="18.75" customHeight="1">
      <c r="A10" s="459"/>
      <c r="B10" s="586" t="s">
        <v>1461</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55241666.48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1463</v>
      </c>
      <c r="C11" s="587"/>
      <c r="D11" s="587"/>
      <c r="E11" s="587"/>
      <c r="F11" s="587"/>
      <c r="G11" s="587"/>
      <c r="H11" s="587"/>
      <c r="I11" s="169">
        <f>SUM(N11:Y11)</f>
        <v>294362</v>
      </c>
      <c r="J11" s="169"/>
      <c r="K11" s="169"/>
      <c r="L11" s="169"/>
      <c r="M11" s="169"/>
      <c r="N11" s="408"/>
      <c r="O11" s="408"/>
      <c r="P11" s="408">
        <f>P583</f>
        <v>51429</v>
      </c>
      <c r="Q11" s="408">
        <f aca="true" t="shared" si="1" ref="Q11:V11">Q583</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586" t="s">
        <v>1462</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55374356.28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1464</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68</v>
      </c>
      <c r="C14" s="605"/>
      <c r="D14" s="605"/>
      <c r="E14" s="605"/>
      <c r="F14" s="605"/>
      <c r="G14" s="605"/>
      <c r="H14" s="605"/>
      <c r="I14" s="123">
        <f>I13+Z12-Z1062</f>
        <v>124172912</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602</v>
      </c>
      <c r="B16" s="118" t="s">
        <v>603</v>
      </c>
      <c r="C16" s="494" t="s">
        <v>1505</v>
      </c>
      <c r="D16" s="585" t="s">
        <v>604</v>
      </c>
      <c r="E16" s="495" t="s">
        <v>1103</v>
      </c>
      <c r="F16" s="495" t="s">
        <v>248</v>
      </c>
      <c r="G16" s="495" t="s">
        <v>1584</v>
      </c>
      <c r="H16" s="590" t="s">
        <v>819</v>
      </c>
      <c r="I16" s="589" t="s">
        <v>1585</v>
      </c>
      <c r="J16" s="497" t="s">
        <v>1586</v>
      </c>
      <c r="K16" s="497"/>
      <c r="L16" s="497"/>
      <c r="M16" s="497"/>
      <c r="N16" s="601" t="s">
        <v>960</v>
      </c>
      <c r="O16" s="602"/>
      <c r="P16" s="602"/>
      <c r="Q16" s="602"/>
      <c r="R16" s="602"/>
      <c r="S16" s="602"/>
      <c r="T16" s="602"/>
      <c r="U16" s="602"/>
      <c r="V16" s="602"/>
      <c r="W16" s="602"/>
      <c r="X16" s="602"/>
      <c r="Y16" s="603"/>
      <c r="Z16" s="597" t="s">
        <v>67</v>
      </c>
      <c r="AA16" s="597" t="s">
        <v>999</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1587</v>
      </c>
      <c r="B17" s="118" t="s">
        <v>1083</v>
      </c>
      <c r="C17" s="494"/>
      <c r="D17" s="585"/>
      <c r="E17" s="495"/>
      <c r="F17" s="495"/>
      <c r="G17" s="495"/>
      <c r="H17" s="590"/>
      <c r="I17" s="589"/>
      <c r="J17" s="121" t="s">
        <v>1588</v>
      </c>
      <c r="K17" s="390" t="s">
        <v>1590</v>
      </c>
      <c r="L17" s="123" t="s">
        <v>1591</v>
      </c>
      <c r="M17" s="124" t="s">
        <v>1592</v>
      </c>
      <c r="N17" s="403" t="s">
        <v>1049</v>
      </c>
      <c r="O17" s="404" t="s">
        <v>1050</v>
      </c>
      <c r="P17" s="405" t="s">
        <v>1051</v>
      </c>
      <c r="Q17" s="405" t="s">
        <v>1052</v>
      </c>
      <c r="R17" s="405" t="s">
        <v>1053</v>
      </c>
      <c r="S17" s="405" t="s">
        <v>1054</v>
      </c>
      <c r="T17" s="405" t="s">
        <v>1055</v>
      </c>
      <c r="U17" s="405" t="s">
        <v>1056</v>
      </c>
      <c r="V17" s="405" t="s">
        <v>1057</v>
      </c>
      <c r="W17" s="405" t="s">
        <v>1058</v>
      </c>
      <c r="X17" s="405" t="s">
        <v>1059</v>
      </c>
      <c r="Y17" s="405" t="s">
        <v>1060</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1084</v>
      </c>
      <c r="B19" s="539" t="s">
        <v>1595</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1154</v>
      </c>
      <c r="B20" s="544" t="s">
        <v>1596</v>
      </c>
      <c r="C20" s="135"/>
      <c r="D20" s="136" t="s">
        <v>1597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1598</v>
      </c>
      <c r="D21" s="141" t="s">
        <v>1125</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1126</v>
      </c>
      <c r="D22" s="141" t="s">
        <v>1127</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1128</v>
      </c>
      <c r="D23" s="141" t="s">
        <v>1129</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1130</v>
      </c>
      <c r="D24" s="141" t="s">
        <v>1220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1221</v>
      </c>
      <c r="D25" s="141" t="s">
        <v>1222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1223</v>
      </c>
      <c r="D26" s="141" t="s">
        <v>1224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1225</v>
      </c>
      <c r="D27" s="141" t="s">
        <v>348</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1187</v>
      </c>
      <c r="D28" s="141" t="s">
        <v>1561</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1562</v>
      </c>
      <c r="D29" s="141" t="s">
        <v>273</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274</v>
      </c>
      <c r="D30" s="141" t="s">
        <v>1062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1063</v>
      </c>
      <c r="D31" s="141" t="s">
        <v>1064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1065</v>
      </c>
      <c r="D32" s="141" t="s">
        <v>703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704</v>
      </c>
      <c r="D33" s="141" t="s">
        <v>705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1118</v>
      </c>
      <c r="D34" s="150" t="s">
        <v>1119</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1120</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1121</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314</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755</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1066</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883</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08"/>
      <c r="B41" s="544"/>
      <c r="C41" s="149"/>
      <c r="D41" s="14" t="s">
        <v>884</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08"/>
      <c r="B42" s="544"/>
      <c r="C42" s="149"/>
      <c r="D42" s="14" t="s">
        <v>115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351</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1496</v>
      </c>
      <c r="B52" s="510" t="s">
        <v>126</v>
      </c>
      <c r="C52" s="148"/>
      <c r="D52" s="33" t="s">
        <v>1199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1200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1504</v>
      </c>
      <c r="C54" s="148"/>
      <c r="D54" s="136" t="s">
        <v>1597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1201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116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1203</v>
      </c>
      <c r="D57" s="141" t="s">
        <v>1204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1090</v>
      </c>
      <c r="B58" s="544" t="s">
        <v>1091</v>
      </c>
      <c r="C58" s="148"/>
      <c r="D58" s="136" t="s">
        <v>1597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1205</v>
      </c>
      <c r="D59" s="141" t="s">
        <v>1206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1207</v>
      </c>
      <c r="D60" s="141" t="s">
        <v>1208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1367</v>
      </c>
      <c r="C61" s="167"/>
      <c r="D61" s="168" t="s">
        <v>406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1079</v>
      </c>
      <c r="C62" s="135"/>
      <c r="D62" s="136" t="s">
        <v>407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408</v>
      </c>
      <c r="D63" s="141" t="s">
        <v>1613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1614</v>
      </c>
      <c r="D64" s="141" t="s">
        <v>1200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1615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321</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1614</v>
      </c>
      <c r="D67" s="141" t="s">
        <v>1200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19</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20</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1609</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325</v>
      </c>
      <c r="D72" s="141" t="s">
        <v>326</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327</v>
      </c>
      <c r="D73" s="141" t="s">
        <v>328</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329</v>
      </c>
      <c r="D74" s="141" t="s">
        <v>330</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54</v>
      </c>
      <c r="B76" s="504" t="s">
        <v>331</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1154</v>
      </c>
      <c r="B77" s="510" t="s">
        <v>1596</v>
      </c>
      <c r="C77" s="184"/>
      <c r="D77" s="136" t="s">
        <v>332</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21</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1123</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852</v>
      </c>
      <c r="B81" s="539" t="s">
        <v>870</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1496</v>
      </c>
      <c r="B82" s="518" t="s">
        <v>126</v>
      </c>
      <c r="C82" s="148"/>
      <c r="D82" s="33" t="s">
        <v>1199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1614</v>
      </c>
      <c r="D83" s="141" t="s">
        <v>1200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55</v>
      </c>
      <c r="B86" s="539" t="s">
        <v>7</v>
      </c>
      <c r="C86" s="539"/>
      <c r="D86" s="539"/>
      <c r="E86" s="193"/>
      <c r="F86" s="194"/>
      <c r="G86" s="130"/>
      <c r="H86" s="416"/>
      <c r="I86" s="132">
        <f>I87+I94+I169+I313+I315+I323+I325+I328+I334+I342+I348+I361+I367+I374+I407+I412</f>
        <v>29106594.78</v>
      </c>
      <c r="J86" s="132">
        <f>J87+J94+J169+J325+J328+J342+J348+J361+J367+J374+J407+J412+J323+J334+J315+J320+J313</f>
        <v>0</v>
      </c>
      <c r="K86" s="132">
        <f>K87+K94+K169+K325+K328+K342+K348+K361+K367+K374+K407+K412+K323+K334+K315+K320+K313</f>
        <v>0</v>
      </c>
      <c r="L86" s="132">
        <f>L87+L94+L169+L325+L328+L342+L348+L361+L367+L374+L407+L412+L323+L334+L315+L320+L313</f>
        <v>1946780.03</v>
      </c>
      <c r="M86" s="132">
        <f>M87+M94+M169+M325+M328+M342+M348+M361+M367+M374+M407+M412+M323+M334+M315+M320+M313</f>
        <v>26584044.75</v>
      </c>
      <c r="N86" s="132">
        <f>N87+N94+N169+N325+N328+N342+N348+N361+N367+N374+N407+N412+N323+N334+N315+N320+N313</f>
        <v>0</v>
      </c>
      <c r="O86" s="132">
        <f>O87+O94+O169+O325+O328+O342+O348+O361+O367+O374+O407+O412+O323+O334+O315+O320+O313</f>
        <v>1946780.03</v>
      </c>
      <c r="P86" s="132">
        <f>P87+P94+P169+P325+P328+P342+P348+P361+P367+P374+P407+P412+P323+P334+P315+P320+P313</f>
        <v>0</v>
      </c>
      <c r="Q86" s="132">
        <f>Q87+Q94+Q169+Q325+Q328+Q342+Q348+Q361+Q367+Q374+Q407+Q412+Q323+Q334+Q315+Q320+Q313</f>
        <v>0</v>
      </c>
      <c r="R86" s="132">
        <f>R87+R94+R169+R325+R328+R342+R348+R361+R367+R374+R407+R412+R323+R334+R315+R320+R313</f>
        <v>4989369.72</v>
      </c>
      <c r="S86" s="132">
        <f>S87+S94+S169+S325+S328+S342+S348+S361+S367+S374+S407+S412+S323+S334+S315+S320+S313</f>
        <v>3928792.2</v>
      </c>
      <c r="T86" s="132">
        <f>T87+T94+T169+T325+T328+T342+T348+T361+T367+T374+T407+T412+T323+T334+T315+T320+T313</f>
        <v>3646785.73</v>
      </c>
      <c r="U86" s="132">
        <f>U87+U94+U169+U325+U328+U342+U348+U361+U367+U374+U407+U412+U323+U334+U315+U320+U313</f>
        <v>6516550.62</v>
      </c>
      <c r="V86" s="132">
        <f>V87+V94+V169+V325+V328+V342+V348+V361+V367+V374+V407+V412+V323+V334+V315+V320+V313</f>
        <v>2803300.16</v>
      </c>
      <c r="W86" s="132">
        <f>W87+W94+W169+W325+W328+W342+W348+W361+W367+W374+W407+W412+W323+W334+W315+W320+W313</f>
        <v>1313998.32</v>
      </c>
      <c r="X86" s="132">
        <f>X87+X94+X169+X325+X328+X342+X348+X361+X367+X374+X407+X412+X323+X334+X315+X320+X313</f>
        <v>3151651.6</v>
      </c>
      <c r="Y86" s="132">
        <f>Y87+Y94+Y169+Y325+Y328+Y342+Y348+Y361+Y367+Y374+Y407+Y412+Y323+Y334+Y315+Y320+Y313</f>
        <v>806943</v>
      </c>
      <c r="Z86" s="132">
        <f>Z87+Z94+Z169+Z325+Z328+Z342+Z348+Z361+Z367+Z374+Z407+Z412+Z323+Z334+Z315+Z320+Z313</f>
        <v>7036009.66</v>
      </c>
      <c r="AA86" s="408">
        <f t="shared" si="10"/>
        <v>13992268.64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1154</v>
      </c>
      <c r="B87" s="544" t="s">
        <v>1596</v>
      </c>
      <c r="C87" s="195"/>
      <c r="D87" s="136" t="s">
        <v>1597</v>
      </c>
      <c r="E87" s="137"/>
      <c r="F87" s="159"/>
      <c r="G87" s="137"/>
      <c r="H87" s="417"/>
      <c r="I87" s="139">
        <f>I92</f>
        <v>100000</v>
      </c>
      <c r="J87" s="139">
        <f>SUM(J88:J92)</f>
        <v>0</v>
      </c>
      <c r="K87" s="139">
        <f>SUM(K88:K92)</f>
        <v>0</v>
      </c>
      <c r="L87" s="139">
        <f>SUM(L88:L92)</f>
        <v>0</v>
      </c>
      <c r="M87" s="139">
        <f>SUM(M88:M92)</f>
        <v>100000</v>
      </c>
      <c r="N87" s="139">
        <f aca="true" t="shared" si="11" ref="N87:Z87">SUM(N88:N92)</f>
        <v>0</v>
      </c>
      <c r="O87" s="139">
        <f t="shared" si="11"/>
        <v>0</v>
      </c>
      <c r="P87" s="139">
        <f t="shared" si="11"/>
        <v>0</v>
      </c>
      <c r="Q87" s="139">
        <f t="shared" si="11"/>
        <v>0</v>
      </c>
      <c r="R87" s="139">
        <f t="shared" si="11"/>
        <v>0</v>
      </c>
      <c r="S87" s="139">
        <f t="shared" si="11"/>
        <v>0</v>
      </c>
      <c r="T87" s="139">
        <f t="shared" si="11"/>
        <v>0</v>
      </c>
      <c r="U87" s="139">
        <f t="shared" si="11"/>
        <v>100000</v>
      </c>
      <c r="V87" s="139">
        <f t="shared" si="11"/>
        <v>0</v>
      </c>
      <c r="W87" s="139">
        <f t="shared" si="11"/>
        <v>0</v>
      </c>
      <c r="X87" s="139">
        <f t="shared" si="11"/>
        <v>0</v>
      </c>
      <c r="Y87" s="139">
        <f t="shared" si="11"/>
        <v>0</v>
      </c>
      <c r="Z87" s="139">
        <f t="shared" si="11"/>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8</v>
      </c>
      <c r="D88" s="141" t="s">
        <v>1209</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367</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368</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369</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370</v>
      </c>
      <c r="D92" s="141" t="s">
        <v>22</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983</v>
      </c>
      <c r="B93" s="166" t="s">
        <v>984</v>
      </c>
      <c r="C93" s="167"/>
      <c r="D93" s="196" t="s">
        <v>132</v>
      </c>
      <c r="E93" s="172"/>
      <c r="F93" s="143"/>
      <c r="G93" s="172"/>
      <c r="H93" s="421"/>
      <c r="I93" s="169">
        <f>I94+I169+I313+I315+I323+I325</f>
        <v>17054101.29</v>
      </c>
      <c r="J93" s="169">
        <f aca="true" t="shared" si="12" ref="J93:Z93">J94+J169+J325+J315+J323+J320+J313</f>
        <v>0</v>
      </c>
      <c r="K93" s="169">
        <f t="shared" si="12"/>
        <v>0</v>
      </c>
      <c r="L93" s="169">
        <f t="shared" si="12"/>
        <v>1350936.25</v>
      </c>
      <c r="M93" s="169">
        <f t="shared" si="12"/>
        <v>15142395.04</v>
      </c>
      <c r="N93" s="169">
        <f t="shared" si="12"/>
        <v>0</v>
      </c>
      <c r="O93" s="169">
        <f t="shared" si="12"/>
        <v>1350936.25</v>
      </c>
      <c r="P93" s="169">
        <f t="shared" si="12"/>
        <v>0</v>
      </c>
      <c r="Q93" s="169">
        <f t="shared" si="12"/>
        <v>0</v>
      </c>
      <c r="R93" s="169">
        <f t="shared" si="12"/>
        <v>1466270</v>
      </c>
      <c r="S93" s="169">
        <f t="shared" si="12"/>
        <v>2091887</v>
      </c>
      <c r="T93" s="169">
        <f t="shared" si="12"/>
        <v>2506867.4</v>
      </c>
      <c r="U93" s="169">
        <f t="shared" si="12"/>
        <v>4535258.62</v>
      </c>
      <c r="V93" s="169">
        <f t="shared" si="12"/>
        <v>1483805.5</v>
      </c>
      <c r="W93" s="169">
        <f t="shared" si="12"/>
        <v>998310.12</v>
      </c>
      <c r="X93" s="169">
        <f t="shared" si="12"/>
        <v>1986400</v>
      </c>
      <c r="Y93" s="169">
        <f t="shared" si="12"/>
        <v>631943</v>
      </c>
      <c r="Z93" s="169">
        <f t="shared" si="12"/>
        <v>2870924.64</v>
      </c>
      <c r="AA93" s="408">
        <f t="shared" si="10"/>
        <v>9080294.63</v>
      </c>
    </row>
    <row r="94" spans="1:27" ht="15.75">
      <c r="A94" s="535" t="s">
        <v>985</v>
      </c>
      <c r="B94" s="538" t="s">
        <v>986</v>
      </c>
      <c r="C94" s="167"/>
      <c r="D94" s="136" t="s">
        <v>332</v>
      </c>
      <c r="E94" s="137"/>
      <c r="F94" s="159"/>
      <c r="G94" s="137"/>
      <c r="H94" s="417"/>
      <c r="I94" s="139">
        <f>I96+I99+I113+I122+I128+I132+I133+I140+I141+I142+I146+I147+I151+I152+I153+I154+I155+I168+I167</f>
        <v>3952951.04</v>
      </c>
      <c r="J94" s="139">
        <f aca="true" t="shared" si="13" ref="J94:Z94">J96+J99+J113+J122+J128+J132+J133+J140+J141+J142+J146+J147+J151+J152+J153+J154+J155+J168+J167</f>
        <v>0</v>
      </c>
      <c r="K94" s="139">
        <f t="shared" si="13"/>
        <v>0</v>
      </c>
      <c r="L94" s="139">
        <f t="shared" si="13"/>
        <v>228126.04</v>
      </c>
      <c r="M94" s="139">
        <f t="shared" si="13"/>
        <v>3149055</v>
      </c>
      <c r="N94" s="139">
        <f t="shared" si="13"/>
        <v>0</v>
      </c>
      <c r="O94" s="139">
        <f t="shared" si="13"/>
        <v>228126.04</v>
      </c>
      <c r="P94" s="139">
        <f t="shared" si="13"/>
        <v>0</v>
      </c>
      <c r="Q94" s="139">
        <f t="shared" si="13"/>
        <v>0</v>
      </c>
      <c r="R94" s="139">
        <f t="shared" si="13"/>
        <v>823370</v>
      </c>
      <c r="S94" s="139">
        <f t="shared" si="13"/>
        <v>621161</v>
      </c>
      <c r="T94" s="139">
        <f t="shared" si="13"/>
        <v>477500</v>
      </c>
      <c r="U94" s="139">
        <f t="shared" si="13"/>
        <v>1130943.6</v>
      </c>
      <c r="V94" s="139">
        <f t="shared" si="13"/>
        <v>430327</v>
      </c>
      <c r="W94" s="139">
        <f t="shared" si="13"/>
        <v>0</v>
      </c>
      <c r="X94" s="139">
        <f t="shared" si="13"/>
        <v>239100</v>
      </c>
      <c r="Y94" s="139">
        <f t="shared" si="13"/>
        <v>0</v>
      </c>
      <c r="Z94" s="139">
        <f t="shared" si="13"/>
        <v>992667.24</v>
      </c>
      <c r="AA94" s="408">
        <f t="shared" si="10"/>
        <v>2288433.4</v>
      </c>
    </row>
    <row r="95" spans="1:27" ht="31.5" customHeight="1" hidden="1">
      <c r="A95" s="536"/>
      <c r="B95" s="512"/>
      <c r="C95" s="167" t="s">
        <v>409</v>
      </c>
      <c r="D95" s="141" t="s">
        <v>410</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411</v>
      </c>
      <c r="D96" s="141" t="s">
        <v>1249</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1250</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1251</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10</v>
      </c>
      <c r="D99" s="141" t="s">
        <v>11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12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13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1601</v>
      </c>
      <c r="D102" s="141" t="s">
        <v>1602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1603</v>
      </c>
      <c r="D103" s="141" t="s">
        <v>1156</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1157</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1158</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1159</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1160</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1161</v>
      </c>
      <c r="D108" s="208" t="s">
        <v>756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757</v>
      </c>
      <c r="D109" s="208" t="s">
        <v>1162</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1163</v>
      </c>
      <c r="D110" s="208" t="s">
        <v>1164</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1165</v>
      </c>
      <c r="D111" s="210" t="s">
        <v>1166</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1167</v>
      </c>
      <c r="D112" s="13" t="s">
        <v>1168</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1169</v>
      </c>
      <c r="D113" s="13" t="s">
        <v>399</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400</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401</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402</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403</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1252</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1253</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1254</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1255</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1256</v>
      </c>
      <c r="D122" s="13" t="s">
        <v>1257</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1258</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1189</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1190</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1191</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1192</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1193</v>
      </c>
      <c r="D128" s="13" t="s">
        <v>333</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334</v>
      </c>
      <c r="D129" s="13" t="s">
        <v>335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336</v>
      </c>
      <c r="D130" s="13" t="s">
        <v>337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338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1274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23</v>
      </c>
      <c r="E133" s="142"/>
      <c r="F133" s="143"/>
      <c r="G133" s="142"/>
      <c r="H133" s="418"/>
      <c r="I133" s="392">
        <f>SUM(I134:I139)</f>
        <v>480000</v>
      </c>
      <c r="J133" s="392">
        <f aca="true" t="shared" si="14" ref="J133:Z133">SUM(J134:J139)</f>
        <v>0</v>
      </c>
      <c r="K133" s="392">
        <f t="shared" si="14"/>
        <v>0</v>
      </c>
      <c r="L133" s="392">
        <f t="shared" si="14"/>
        <v>0</v>
      </c>
      <c r="M133" s="392">
        <f t="shared" si="14"/>
        <v>480000</v>
      </c>
      <c r="N133" s="392">
        <f t="shared" si="14"/>
        <v>0</v>
      </c>
      <c r="O133" s="392">
        <f t="shared" si="14"/>
        <v>0</v>
      </c>
      <c r="P133" s="392">
        <f t="shared" si="14"/>
        <v>0</v>
      </c>
      <c r="Q133" s="392">
        <f t="shared" si="14"/>
        <v>0</v>
      </c>
      <c r="R133" s="392">
        <f t="shared" si="14"/>
        <v>9000</v>
      </c>
      <c r="S133" s="392">
        <f t="shared" si="14"/>
        <v>171000</v>
      </c>
      <c r="T133" s="392">
        <f t="shared" si="14"/>
        <v>0</v>
      </c>
      <c r="U133" s="392">
        <f t="shared" si="14"/>
        <v>300000</v>
      </c>
      <c r="V133" s="392">
        <f t="shared" si="14"/>
        <v>0</v>
      </c>
      <c r="W133" s="392">
        <f t="shared" si="14"/>
        <v>0</v>
      </c>
      <c r="X133" s="392">
        <f t="shared" si="14"/>
        <v>0</v>
      </c>
      <c r="Y133" s="392">
        <f t="shared" si="14"/>
        <v>0</v>
      </c>
      <c r="Z133" s="392">
        <f t="shared" si="14"/>
        <v>9215.96</v>
      </c>
      <c r="AA133" s="408">
        <f t="shared" si="10"/>
        <v>470784.04</v>
      </c>
    </row>
    <row r="134" spans="1:27" s="64" customFormat="1" ht="15.75">
      <c r="A134" s="536"/>
      <c r="B134" s="512"/>
      <c r="C134" s="244"/>
      <c r="D134" s="386" t="s">
        <v>24</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36"/>
      <c r="B135" s="512"/>
      <c r="C135" s="244"/>
      <c r="D135" s="386" t="s">
        <v>25</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36"/>
      <c r="B136" s="512"/>
      <c r="C136" s="244"/>
      <c r="D136" s="386" t="s">
        <v>26</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36"/>
      <c r="B137" s="512"/>
      <c r="C137" s="244"/>
      <c r="D137" s="386" t="s">
        <v>27</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36"/>
      <c r="B138" s="512"/>
      <c r="C138" s="244"/>
      <c r="D138" s="386" t="s">
        <v>28</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36"/>
      <c r="B139" s="512"/>
      <c r="C139" s="244"/>
      <c r="D139" s="386" t="s">
        <v>29</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36"/>
      <c r="B140" s="512"/>
      <c r="C140" s="167"/>
      <c r="D140" s="359" t="s">
        <v>449</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1210</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36"/>
      <c r="B142" s="512"/>
      <c r="C142" s="167"/>
      <c r="D142" s="13" t="s">
        <v>399</v>
      </c>
      <c r="E142" s="142"/>
      <c r="F142" s="143"/>
      <c r="G142" s="142"/>
      <c r="H142" s="418"/>
      <c r="I142" s="392">
        <f>SUM(I143:I145)</f>
        <v>575770</v>
      </c>
      <c r="J142" s="392">
        <f>SUM(J143:J145)</f>
        <v>0</v>
      </c>
      <c r="K142" s="392">
        <f>SUM(K143:K145)</f>
        <v>0</v>
      </c>
      <c r="L142" s="392">
        <f>SUM(L143:L145)</f>
        <v>0</v>
      </c>
      <c r="M142" s="392">
        <f>SUM(M143:M145)</f>
        <v>575770</v>
      </c>
      <c r="N142" s="392">
        <f aca="true" t="shared" si="15" ref="N142:Y142">SUM(N143:N145)</f>
        <v>0</v>
      </c>
      <c r="O142" s="392">
        <f t="shared" si="15"/>
        <v>0</v>
      </c>
      <c r="P142" s="392">
        <f t="shared" si="15"/>
        <v>0</v>
      </c>
      <c r="Q142" s="392">
        <f t="shared" si="15"/>
        <v>0</v>
      </c>
      <c r="R142" s="392">
        <f t="shared" si="15"/>
        <v>120000</v>
      </c>
      <c r="S142" s="392">
        <f t="shared" si="15"/>
        <v>182270</v>
      </c>
      <c r="T142" s="392">
        <f t="shared" si="15"/>
        <v>113500</v>
      </c>
      <c r="U142" s="392">
        <f t="shared" si="15"/>
        <v>157576.6</v>
      </c>
      <c r="V142" s="392">
        <f t="shared" si="15"/>
        <v>0</v>
      </c>
      <c r="W142" s="392">
        <f t="shared" si="15"/>
        <v>0</v>
      </c>
      <c r="X142" s="392">
        <f t="shared" si="15"/>
        <v>0</v>
      </c>
      <c r="Y142" s="392">
        <f t="shared" si="15"/>
        <v>0</v>
      </c>
      <c r="Z142" s="408">
        <f>Z143+Z144+Z145</f>
        <v>62267.2</v>
      </c>
      <c r="AA142" s="408">
        <f t="shared" si="10"/>
        <v>511079.4</v>
      </c>
    </row>
    <row r="143" spans="1:27" s="64" customFormat="1" ht="15.75">
      <c r="A143" s="536"/>
      <c r="B143" s="512"/>
      <c r="C143" s="244"/>
      <c r="D143" s="346" t="s">
        <v>450</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36"/>
      <c r="B144" s="512"/>
      <c r="C144" s="244"/>
      <c r="D144" s="346" t="s">
        <v>402</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451</v>
      </c>
      <c r="E145" s="199"/>
      <c r="F145" s="200"/>
      <c r="G145" s="199"/>
      <c r="H145" s="418">
        <v>3132</v>
      </c>
      <c r="I145" s="201">
        <v>113500</v>
      </c>
      <c r="J145" s="201"/>
      <c r="K145" s="201"/>
      <c r="L145" s="51"/>
      <c r="M145" s="51">
        <v>113500</v>
      </c>
      <c r="N145" s="466"/>
      <c r="O145" s="466"/>
      <c r="P145" s="466"/>
      <c r="Q145" s="466"/>
      <c r="R145" s="466"/>
      <c r="S145" s="466"/>
      <c r="T145" s="466">
        <v>113500</v>
      </c>
      <c r="U145" s="466">
        <v>-2423.4</v>
      </c>
      <c r="V145" s="466"/>
      <c r="W145" s="466"/>
      <c r="X145" s="466"/>
      <c r="Y145" s="466"/>
      <c r="Z145" s="466"/>
      <c r="AA145" s="408">
        <f t="shared" si="10"/>
        <v>111076.6</v>
      </c>
    </row>
    <row r="146" spans="1:27" ht="31.5">
      <c r="A146" s="536"/>
      <c r="B146" s="512"/>
      <c r="C146" s="167"/>
      <c r="D146" s="358" t="s">
        <v>452</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36"/>
      <c r="B147" s="512"/>
      <c r="C147" s="167"/>
      <c r="D147" s="13" t="s">
        <v>1257</v>
      </c>
      <c r="E147" s="142"/>
      <c r="F147" s="143"/>
      <c r="G147" s="142"/>
      <c r="H147" s="418"/>
      <c r="I147" s="392">
        <f>SUM(I148:I150)</f>
        <v>186858</v>
      </c>
      <c r="J147" s="392">
        <f aca="true" t="shared" si="16" ref="J147:Z147">SUM(J148:J150)</f>
        <v>0</v>
      </c>
      <c r="K147" s="392">
        <f t="shared" si="16"/>
        <v>0</v>
      </c>
      <c r="L147" s="392">
        <f t="shared" si="16"/>
        <v>0</v>
      </c>
      <c r="M147" s="392">
        <f t="shared" si="16"/>
        <v>186858</v>
      </c>
      <c r="N147" s="392">
        <f t="shared" si="16"/>
        <v>0</v>
      </c>
      <c r="O147" s="392">
        <f t="shared" si="16"/>
        <v>0</v>
      </c>
      <c r="P147" s="392">
        <f t="shared" si="16"/>
        <v>0</v>
      </c>
      <c r="Q147" s="392">
        <f t="shared" si="16"/>
        <v>0</v>
      </c>
      <c r="R147" s="392">
        <f t="shared" si="16"/>
        <v>99200</v>
      </c>
      <c r="S147" s="392">
        <f t="shared" si="16"/>
        <v>48291</v>
      </c>
      <c r="T147" s="392">
        <f t="shared" si="16"/>
        <v>0</v>
      </c>
      <c r="U147" s="392">
        <f t="shared" si="16"/>
        <v>39367</v>
      </c>
      <c r="V147" s="392">
        <f t="shared" si="16"/>
        <v>0</v>
      </c>
      <c r="W147" s="392">
        <f t="shared" si="16"/>
        <v>0</v>
      </c>
      <c r="X147" s="392">
        <f t="shared" si="16"/>
        <v>0</v>
      </c>
      <c r="Y147" s="392">
        <f t="shared" si="16"/>
        <v>0</v>
      </c>
      <c r="Z147" s="392">
        <f t="shared" si="16"/>
        <v>71639.6</v>
      </c>
      <c r="AA147" s="408">
        <f t="shared" si="10"/>
        <v>115218.4</v>
      </c>
    </row>
    <row r="148" spans="1:27" s="64" customFormat="1" ht="15.75">
      <c r="A148" s="536"/>
      <c r="B148" s="512"/>
      <c r="C148" s="244"/>
      <c r="D148" s="346" t="s">
        <v>453</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7" ref="AA148:AA211">N148+O148+P148+Q148+R148+S148+T148+U148-Z148</f>
        <v>44051</v>
      </c>
    </row>
    <row r="149" spans="1:27" s="64" customFormat="1" ht="15.75">
      <c r="A149" s="536"/>
      <c r="B149" s="512"/>
      <c r="C149" s="244"/>
      <c r="D149" s="346" t="s">
        <v>454</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7"/>
        <v>28800.4</v>
      </c>
    </row>
    <row r="150" spans="1:27" s="64" customFormat="1" ht="15.75">
      <c r="A150" s="536"/>
      <c r="B150" s="512"/>
      <c r="C150" s="244"/>
      <c r="D150" s="346" t="s">
        <v>455</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7"/>
        <v>42367</v>
      </c>
    </row>
    <row r="151" spans="1:27" ht="31.5">
      <c r="A151" s="536"/>
      <c r="B151" s="512"/>
      <c r="C151" s="167"/>
      <c r="D151" s="360" t="s">
        <v>889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7"/>
        <v>102172.06</v>
      </c>
    </row>
    <row r="152" spans="1:27" ht="31.5">
      <c r="A152" s="536"/>
      <c r="B152" s="512"/>
      <c r="C152" s="167"/>
      <c r="D152" s="359" t="s">
        <v>890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7"/>
        <v>0</v>
      </c>
    </row>
    <row r="153" spans="1:27" ht="31.5">
      <c r="A153" s="536"/>
      <c r="B153" s="512"/>
      <c r="C153" s="167"/>
      <c r="D153" s="14" t="s">
        <v>891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7"/>
        <v>2020.21</v>
      </c>
    </row>
    <row r="154" spans="1:27" ht="31.5">
      <c r="A154" s="536"/>
      <c r="B154" s="512"/>
      <c r="C154" s="167"/>
      <c r="D154" s="14" t="s">
        <v>1278</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7"/>
        <v>5926.6</v>
      </c>
    </row>
    <row r="155" spans="1:27" ht="15.75">
      <c r="A155" s="536"/>
      <c r="B155" s="512"/>
      <c r="C155" s="167"/>
      <c r="D155" s="13" t="s">
        <v>1279</v>
      </c>
      <c r="E155" s="142"/>
      <c r="F155" s="143"/>
      <c r="G155" s="142"/>
      <c r="H155" s="418"/>
      <c r="I155" s="392">
        <f>SUM(I156:I166)</f>
        <v>124000</v>
      </c>
      <c r="J155" s="392">
        <f aca="true" t="shared" si="18" ref="J155:Z155">SUM(J156:J166)</f>
        <v>0</v>
      </c>
      <c r="K155" s="392">
        <f t="shared" si="18"/>
        <v>0</v>
      </c>
      <c r="L155" s="392">
        <f t="shared" si="18"/>
        <v>0</v>
      </c>
      <c r="M155" s="392">
        <f t="shared" si="18"/>
        <v>124000</v>
      </c>
      <c r="N155" s="392">
        <f t="shared" si="18"/>
        <v>0</v>
      </c>
      <c r="O155" s="392">
        <f t="shared" si="18"/>
        <v>0</v>
      </c>
      <c r="P155" s="392">
        <f t="shared" si="18"/>
        <v>0</v>
      </c>
      <c r="Q155" s="392">
        <f t="shared" si="18"/>
        <v>0</v>
      </c>
      <c r="R155" s="392">
        <f t="shared" si="18"/>
        <v>9900</v>
      </c>
      <c r="S155" s="392">
        <f t="shared" si="18"/>
        <v>50100</v>
      </c>
      <c r="T155" s="392">
        <f t="shared" si="18"/>
        <v>64000</v>
      </c>
      <c r="U155" s="392">
        <f t="shared" si="18"/>
        <v>0</v>
      </c>
      <c r="V155" s="392">
        <f t="shared" si="18"/>
        <v>0</v>
      </c>
      <c r="W155" s="392">
        <f t="shared" si="18"/>
        <v>0</v>
      </c>
      <c r="X155" s="392">
        <f t="shared" si="18"/>
        <v>0</v>
      </c>
      <c r="Y155" s="392">
        <f t="shared" si="18"/>
        <v>0</v>
      </c>
      <c r="Z155" s="392">
        <f t="shared" si="18"/>
        <v>9860.31</v>
      </c>
      <c r="AA155" s="408">
        <f t="shared" si="17"/>
        <v>114139.69</v>
      </c>
    </row>
    <row r="156" spans="1:27" s="64" customFormat="1" ht="15.75">
      <c r="A156" s="536"/>
      <c r="B156" s="512"/>
      <c r="C156" s="244"/>
      <c r="D156" s="346" t="s">
        <v>1280</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7"/>
        <v>15754.41</v>
      </c>
    </row>
    <row r="157" spans="1:27" s="64" customFormat="1" ht="15.75">
      <c r="A157" s="536"/>
      <c r="B157" s="512"/>
      <c r="C157" s="244"/>
      <c r="D157" s="346" t="s">
        <v>1281</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7"/>
        <v>3754.41</v>
      </c>
    </row>
    <row r="158" spans="1:27" s="64" customFormat="1" ht="15.75">
      <c r="A158" s="536"/>
      <c r="B158" s="512"/>
      <c r="C158" s="244"/>
      <c r="D158" s="346" t="s">
        <v>1282</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7"/>
        <v>27403.43</v>
      </c>
    </row>
    <row r="159" spans="1:27" s="64" customFormat="1" ht="15.75">
      <c r="A159" s="536"/>
      <c r="B159" s="512"/>
      <c r="C159" s="244"/>
      <c r="D159" s="346" t="s">
        <v>1160</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7"/>
        <v>7403.43</v>
      </c>
    </row>
    <row r="160" spans="1:27" s="64" customFormat="1" ht="15.75">
      <c r="A160" s="536"/>
      <c r="B160" s="512"/>
      <c r="C160" s="244"/>
      <c r="D160" s="346" t="s">
        <v>29</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7"/>
        <v>5403.43</v>
      </c>
    </row>
    <row r="161" spans="1:27" s="64" customFormat="1" ht="15.75">
      <c r="A161" s="536"/>
      <c r="B161" s="512"/>
      <c r="C161" s="244"/>
      <c r="D161" s="346" t="s">
        <v>1283</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7"/>
        <v>12403.43</v>
      </c>
    </row>
    <row r="162" spans="1:27" s="64" customFormat="1" ht="15.75">
      <c r="A162" s="536"/>
      <c r="B162" s="512"/>
      <c r="C162" s="244"/>
      <c r="D162" s="346" t="s">
        <v>13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7"/>
        <v>7403.43</v>
      </c>
    </row>
    <row r="163" spans="1:27" s="64" customFormat="1" ht="15.75">
      <c r="A163" s="536"/>
      <c r="B163" s="512"/>
      <c r="C163" s="244"/>
      <c r="D163" s="346" t="s">
        <v>1284</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7"/>
        <v>12403.43</v>
      </c>
    </row>
    <row r="164" spans="1:27" s="64" customFormat="1" ht="15.75">
      <c r="A164" s="536"/>
      <c r="B164" s="512"/>
      <c r="C164" s="244"/>
      <c r="D164" s="346" t="s">
        <v>25</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7"/>
        <v>7403.43</v>
      </c>
    </row>
    <row r="165" spans="1:27" s="64" customFormat="1" ht="15.75">
      <c r="A165" s="536"/>
      <c r="B165" s="512"/>
      <c r="C165" s="244"/>
      <c r="D165" s="346" t="s">
        <v>1285</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7"/>
        <v>7403.43</v>
      </c>
    </row>
    <row r="166" spans="1:27" s="64" customFormat="1" ht="15.75">
      <c r="A166" s="536"/>
      <c r="B166" s="512"/>
      <c r="C166" s="244"/>
      <c r="D166" s="346" t="s">
        <v>1286</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7"/>
        <v>7403.43</v>
      </c>
    </row>
    <row r="167" spans="1:27" s="40" customFormat="1" ht="31.5">
      <c r="A167" s="536"/>
      <c r="B167" s="512"/>
      <c r="C167" s="167"/>
      <c r="D167" s="13" t="s">
        <v>219</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7"/>
        <v>423593</v>
      </c>
    </row>
    <row r="168" spans="1:27" s="45" customFormat="1" ht="15.75">
      <c r="A168" s="536"/>
      <c r="B168" s="512"/>
      <c r="C168" s="167"/>
      <c r="D168" s="361" t="s">
        <v>456</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7"/>
        <v>32000</v>
      </c>
    </row>
    <row r="169" spans="1:61" s="54" customFormat="1" ht="17.25" customHeight="1">
      <c r="A169" s="508" t="s">
        <v>987</v>
      </c>
      <c r="B169" s="544" t="s">
        <v>1636</v>
      </c>
      <c r="C169" s="195"/>
      <c r="D169" s="136" t="s">
        <v>1637</v>
      </c>
      <c r="E169" s="137"/>
      <c r="F169" s="159"/>
      <c r="G169" s="137"/>
      <c r="H169" s="417"/>
      <c r="I169" s="139">
        <f aca="true" t="shared" si="19" ref="I169:Y169">I172+I187+I188+I189+I193+I195+I201+I203+I204+I205+I207+I209+I214+I216+I217+I218+I251+I252+I253+I254+I255+I258+I259+I260+I261+I262+I269+I274+I275+I276+I277+I278+I279+I285+I286+I287+I288+I289+I290+I295+I296+I297+I298+I305+I306+I307+I311+I312</f>
        <v>11855352.23</v>
      </c>
      <c r="J169" s="139">
        <f t="shared" si="19"/>
        <v>0</v>
      </c>
      <c r="K169" s="139">
        <f t="shared" si="19"/>
        <v>0</v>
      </c>
      <c r="L169" s="139">
        <f t="shared" si="19"/>
        <v>1013012.19</v>
      </c>
      <c r="M169" s="139">
        <f t="shared" si="19"/>
        <v>10857340.04</v>
      </c>
      <c r="N169" s="139">
        <f t="shared" si="19"/>
        <v>0</v>
      </c>
      <c r="O169" s="139">
        <f t="shared" si="19"/>
        <v>1013012.19</v>
      </c>
      <c r="P169" s="139">
        <f t="shared" si="19"/>
        <v>0</v>
      </c>
      <c r="Q169" s="139">
        <f t="shared" si="19"/>
        <v>0</v>
      </c>
      <c r="R169" s="139">
        <f t="shared" si="19"/>
        <v>642900</v>
      </c>
      <c r="S169" s="139">
        <f t="shared" si="19"/>
        <v>1470726</v>
      </c>
      <c r="T169" s="139">
        <f t="shared" si="19"/>
        <v>2029367.4</v>
      </c>
      <c r="U169" s="139">
        <f t="shared" si="19"/>
        <v>3268315.02</v>
      </c>
      <c r="V169" s="139">
        <f t="shared" si="19"/>
        <v>1053478.5</v>
      </c>
      <c r="W169" s="139">
        <f t="shared" si="19"/>
        <v>998310.12</v>
      </c>
      <c r="X169" s="139">
        <f t="shared" si="19"/>
        <v>747300</v>
      </c>
      <c r="Y169" s="139">
        <f t="shared" si="19"/>
        <v>631943</v>
      </c>
      <c r="Z169" s="139">
        <f>Z172+Z187+Z188+Z189+Z193+Z195+Z201+Z203+Z204+Z205+Z207+Z209+Z214+Z216+Z217+Z218+Z251+Z252+Z253+Z254+Z255+Z258+Z259+Z260+Z261+Z262+Z269+Z274+Z275+Z276+Z277+Z278+Z279+Z285+Z286+Z287+Z288+Z289+Z290+Z295+Z296+Z297+Z298+Z305+Z306+Z307+Z311+Z312</f>
        <v>1768459.38</v>
      </c>
      <c r="AA169" s="408">
        <f t="shared" si="17"/>
        <v>6655861.23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411</v>
      </c>
      <c r="D170" s="141" t="s">
        <v>1638</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7"/>
        <v>0</v>
      </c>
    </row>
    <row r="171" spans="1:27" s="45" customFormat="1" ht="63" customHeight="1" hidden="1">
      <c r="A171" s="508"/>
      <c r="B171" s="544"/>
      <c r="C171" s="212" t="s">
        <v>409</v>
      </c>
      <c r="D171" s="141" t="s">
        <v>1104</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7"/>
        <v>0</v>
      </c>
    </row>
    <row r="172" spans="1:27" s="45" customFormat="1" ht="15.75">
      <c r="A172" s="508"/>
      <c r="B172" s="544"/>
      <c r="C172" s="533" t="s">
        <v>1256</v>
      </c>
      <c r="D172" s="141" t="s">
        <v>1639</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7"/>
        <v>0</v>
      </c>
    </row>
    <row r="173" spans="1:27" ht="21.75" customHeight="1">
      <c r="A173" s="508"/>
      <c r="B173" s="544"/>
      <c r="C173" s="541"/>
      <c r="D173" s="347" t="s">
        <v>1640</v>
      </c>
      <c r="E173" s="142">
        <v>150</v>
      </c>
      <c r="F173" s="143">
        <f aca="true" t="shared" si="20"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7"/>
        <v>0</v>
      </c>
    </row>
    <row r="174" spans="1:27" ht="21.75" customHeight="1">
      <c r="A174" s="508"/>
      <c r="B174" s="544"/>
      <c r="C174" s="541"/>
      <c r="D174" s="347" t="s">
        <v>771</v>
      </c>
      <c r="E174" s="142">
        <v>120</v>
      </c>
      <c r="F174" s="143">
        <f t="shared" si="20"/>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7"/>
        <v>0</v>
      </c>
    </row>
    <row r="175" spans="1:27" ht="20.25" customHeight="1">
      <c r="A175" s="508"/>
      <c r="B175" s="544"/>
      <c r="C175" s="541"/>
      <c r="D175" s="347" t="s">
        <v>772</v>
      </c>
      <c r="E175" s="142">
        <v>150</v>
      </c>
      <c r="F175" s="143">
        <f t="shared" si="20"/>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7"/>
        <v>0</v>
      </c>
    </row>
    <row r="176" spans="1:27" ht="15.75" customHeight="1" hidden="1">
      <c r="A176" s="508"/>
      <c r="B176" s="544"/>
      <c r="C176" s="541"/>
      <c r="D176" s="347" t="s">
        <v>773</v>
      </c>
      <c r="E176" s="142">
        <v>65</v>
      </c>
      <c r="F176" s="143">
        <f t="shared" si="20"/>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7"/>
        <v>0</v>
      </c>
    </row>
    <row r="177" spans="1:27" ht="15.75">
      <c r="A177" s="508"/>
      <c r="B177" s="544"/>
      <c r="C177" s="541"/>
      <c r="D177" s="347" t="s">
        <v>774</v>
      </c>
      <c r="E177" s="142">
        <v>264.14</v>
      </c>
      <c r="F177" s="143">
        <f t="shared" si="20"/>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7"/>
        <v>0</v>
      </c>
    </row>
    <row r="178" spans="1:27" ht="15.75" customHeight="1" hidden="1">
      <c r="A178" s="508"/>
      <c r="B178" s="544"/>
      <c r="C178" s="541"/>
      <c r="D178" s="198" t="s">
        <v>775</v>
      </c>
      <c r="E178" s="142">
        <v>1581.38</v>
      </c>
      <c r="F178" s="143">
        <f t="shared" si="20"/>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7"/>
        <v>0</v>
      </c>
    </row>
    <row r="179" spans="1:27" ht="15.75" customHeight="1" hidden="1">
      <c r="A179" s="508"/>
      <c r="B179" s="544"/>
      <c r="C179" s="541"/>
      <c r="D179" s="198" t="s">
        <v>776</v>
      </c>
      <c r="E179" s="142">
        <v>30</v>
      </c>
      <c r="F179" s="143">
        <f t="shared" si="20"/>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7"/>
        <v>0</v>
      </c>
    </row>
    <row r="180" spans="1:27" ht="15.75" customHeight="1" hidden="1">
      <c r="A180" s="508"/>
      <c r="B180" s="544"/>
      <c r="C180" s="534"/>
      <c r="D180" s="198" t="s">
        <v>777</v>
      </c>
      <c r="E180" s="142">
        <v>25</v>
      </c>
      <c r="F180" s="143">
        <f t="shared" si="20"/>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7"/>
        <v>0</v>
      </c>
    </row>
    <row r="181" spans="1:27" ht="15.75" customHeight="1" hidden="1">
      <c r="A181" s="508"/>
      <c r="B181" s="544"/>
      <c r="C181" s="533" t="s">
        <v>778</v>
      </c>
      <c r="D181" s="141" t="s">
        <v>779</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7"/>
        <v>0</v>
      </c>
    </row>
    <row r="182" spans="1:27" ht="15.75" customHeight="1" hidden="1">
      <c r="A182" s="508"/>
      <c r="B182" s="544"/>
      <c r="C182" s="541"/>
      <c r="D182" s="198" t="s">
        <v>780</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7"/>
        <v>0</v>
      </c>
    </row>
    <row r="183" spans="1:27" ht="15.75" customHeight="1" hidden="1">
      <c r="A183" s="508"/>
      <c r="B183" s="544"/>
      <c r="C183" s="541"/>
      <c r="D183" s="198" t="s">
        <v>781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7"/>
        <v>0</v>
      </c>
    </row>
    <row r="184" spans="1:27" ht="15.75" customHeight="1" hidden="1">
      <c r="A184" s="508"/>
      <c r="B184" s="544"/>
      <c r="C184" s="541"/>
      <c r="D184" s="198" t="s">
        <v>782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7"/>
        <v>0</v>
      </c>
    </row>
    <row r="185" spans="1:27" ht="15.75" customHeight="1" hidden="1">
      <c r="A185" s="508"/>
      <c r="B185" s="544"/>
      <c r="C185" s="534"/>
      <c r="D185" s="198" t="s">
        <v>783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7"/>
        <v>0</v>
      </c>
    </row>
    <row r="186" spans="1:27" ht="47.25" customHeight="1" hidden="1">
      <c r="A186" s="508"/>
      <c r="B186" s="544"/>
      <c r="C186" s="212" t="s">
        <v>1603</v>
      </c>
      <c r="D186" s="208" t="s">
        <v>820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7"/>
        <v>0</v>
      </c>
    </row>
    <row r="187" spans="1:27" ht="49.5" customHeight="1">
      <c r="A187" s="508"/>
      <c r="B187" s="544"/>
      <c r="C187" s="212" t="s">
        <v>821</v>
      </c>
      <c r="D187" s="208" t="s">
        <v>822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7"/>
        <v>0</v>
      </c>
    </row>
    <row r="188" spans="1:27" ht="47.25">
      <c r="A188" s="508"/>
      <c r="B188" s="544"/>
      <c r="C188" s="212" t="s">
        <v>823</v>
      </c>
      <c r="D188" s="208" t="s">
        <v>824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7"/>
        <v>0</v>
      </c>
    </row>
    <row r="189" spans="1:27" ht="15.75">
      <c r="A189" s="508"/>
      <c r="B189" s="544"/>
      <c r="C189" s="533" t="s">
        <v>825</v>
      </c>
      <c r="D189" s="208" t="s">
        <v>826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7"/>
        <v>0</v>
      </c>
    </row>
    <row r="190" spans="1:27" ht="15.75">
      <c r="A190" s="508"/>
      <c r="B190" s="544"/>
      <c r="C190" s="541"/>
      <c r="D190" s="348" t="s">
        <v>827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7"/>
        <v>0</v>
      </c>
    </row>
    <row r="191" spans="1:27" ht="15.75">
      <c r="A191" s="508"/>
      <c r="B191" s="544"/>
      <c r="C191" s="541"/>
      <c r="D191" s="348" t="s">
        <v>828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7"/>
        <v>0</v>
      </c>
    </row>
    <row r="192" spans="1:27" ht="16.5" customHeight="1">
      <c r="A192" s="508"/>
      <c r="B192" s="544"/>
      <c r="C192" s="534"/>
      <c r="D192" s="348" t="s">
        <v>829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7"/>
        <v>0</v>
      </c>
    </row>
    <row r="193" spans="1:27" s="40" customFormat="1" ht="47.25">
      <c r="A193" s="508"/>
      <c r="B193" s="544"/>
      <c r="C193" s="212" t="s">
        <v>830</v>
      </c>
      <c r="D193" s="208" t="s">
        <v>14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7"/>
        <v>0</v>
      </c>
    </row>
    <row r="194" spans="1:27" s="40" customFormat="1" ht="31.5" customHeight="1" hidden="1">
      <c r="A194" s="508"/>
      <c r="B194" s="544"/>
      <c r="C194" s="212" t="s">
        <v>15</v>
      </c>
      <c r="D194" s="208" t="s">
        <v>386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7"/>
        <v>0</v>
      </c>
    </row>
    <row r="195" spans="1:27" ht="31.5">
      <c r="A195" s="508"/>
      <c r="B195" s="544"/>
      <c r="C195" s="212" t="s">
        <v>387</v>
      </c>
      <c r="D195" s="208" t="s">
        <v>352</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7"/>
        <v>0</v>
      </c>
    </row>
    <row r="196" spans="1:27" ht="31.5" customHeight="1" hidden="1">
      <c r="A196" s="508"/>
      <c r="B196" s="544"/>
      <c r="C196" s="212" t="s">
        <v>754</v>
      </c>
      <c r="D196" s="208" t="s">
        <v>1578</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7"/>
        <v>0</v>
      </c>
    </row>
    <row r="197" spans="1:27" ht="47.25" customHeight="1" hidden="1">
      <c r="A197" s="508"/>
      <c r="B197" s="544"/>
      <c r="C197" s="212" t="s">
        <v>1579</v>
      </c>
      <c r="D197" s="208" t="s">
        <v>1644</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7"/>
        <v>0</v>
      </c>
    </row>
    <row r="198" spans="1:27" ht="15.75" customHeight="1" hidden="1">
      <c r="A198" s="508"/>
      <c r="B198" s="544"/>
      <c r="C198" s="533" t="s">
        <v>1645</v>
      </c>
      <c r="D198" s="208" t="s">
        <v>1646</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7"/>
        <v>0</v>
      </c>
    </row>
    <row r="199" spans="1:27" ht="15.75" customHeight="1" hidden="1">
      <c r="A199" s="508"/>
      <c r="B199" s="544"/>
      <c r="C199" s="541"/>
      <c r="D199" s="213" t="s">
        <v>1647</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7"/>
        <v>0</v>
      </c>
    </row>
    <row r="200" spans="1:27" ht="15.75" customHeight="1" hidden="1">
      <c r="A200" s="508"/>
      <c r="B200" s="544"/>
      <c r="C200" s="534"/>
      <c r="D200" s="213" t="s">
        <v>1648</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7"/>
        <v>0</v>
      </c>
    </row>
    <row r="201" spans="1:27" ht="31.5">
      <c r="A201" s="508"/>
      <c r="B201" s="544"/>
      <c r="C201" s="212" t="s">
        <v>388</v>
      </c>
      <c r="D201" s="208" t="s">
        <v>389</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7"/>
        <v>0</v>
      </c>
    </row>
    <row r="202" spans="1:27" ht="31.5" customHeight="1" hidden="1">
      <c r="A202" s="508"/>
      <c r="B202" s="544"/>
      <c r="C202" s="212" t="s">
        <v>390</v>
      </c>
      <c r="D202" s="208" t="s">
        <v>391</v>
      </c>
      <c r="E202" s="142">
        <v>45</v>
      </c>
      <c r="F202" s="143">
        <f aca="true" t="shared" si="21"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7"/>
        <v>0</v>
      </c>
    </row>
    <row r="203" spans="1:27" ht="31.5">
      <c r="A203" s="508"/>
      <c r="B203" s="544"/>
      <c r="C203" s="212" t="s">
        <v>392</v>
      </c>
      <c r="D203" s="208" t="s">
        <v>1604</v>
      </c>
      <c r="E203" s="142">
        <v>100</v>
      </c>
      <c r="F203" s="143">
        <f t="shared" si="21"/>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7"/>
        <v>0</v>
      </c>
    </row>
    <row r="204" spans="1:27" ht="31.5">
      <c r="A204" s="508"/>
      <c r="B204" s="544"/>
      <c r="C204" s="212" t="s">
        <v>1605</v>
      </c>
      <c r="D204" s="208" t="s">
        <v>724</v>
      </c>
      <c r="E204" s="142">
        <v>140</v>
      </c>
      <c r="F204" s="143">
        <f t="shared" si="21"/>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7"/>
        <v>0</v>
      </c>
    </row>
    <row r="205" spans="1:27" ht="31.5">
      <c r="A205" s="508"/>
      <c r="B205" s="544"/>
      <c r="C205" s="212" t="s">
        <v>725</v>
      </c>
      <c r="D205" s="141" t="s">
        <v>726</v>
      </c>
      <c r="E205" s="142">
        <v>356.989</v>
      </c>
      <c r="F205" s="143">
        <f t="shared" si="21"/>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7"/>
        <v>0</v>
      </c>
    </row>
    <row r="206" spans="1:27" ht="15.75" customHeight="1" hidden="1">
      <c r="A206" s="508"/>
      <c r="B206" s="544"/>
      <c r="C206" s="212" t="s">
        <v>727</v>
      </c>
      <c r="D206" s="141" t="s">
        <v>1188</v>
      </c>
      <c r="E206" s="142">
        <v>450</v>
      </c>
      <c r="F206" s="143">
        <f t="shared" si="21"/>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7"/>
        <v>0</v>
      </c>
    </row>
    <row r="207" spans="1:27" ht="47.25">
      <c r="A207" s="508"/>
      <c r="B207" s="544"/>
      <c r="C207" s="212" t="s">
        <v>353</v>
      </c>
      <c r="D207" s="141" t="s">
        <v>354</v>
      </c>
      <c r="E207" s="142">
        <v>250</v>
      </c>
      <c r="F207" s="143">
        <f t="shared" si="21"/>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7"/>
        <v>0</v>
      </c>
    </row>
    <row r="208" spans="1:27" ht="31.5" customHeight="1" hidden="1">
      <c r="A208" s="508"/>
      <c r="B208" s="544"/>
      <c r="C208" s="212" t="s">
        <v>355</v>
      </c>
      <c r="D208" s="141" t="s">
        <v>356</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7"/>
        <v>0</v>
      </c>
    </row>
    <row r="209" spans="1:27" ht="15.75">
      <c r="A209" s="508"/>
      <c r="B209" s="544"/>
      <c r="C209" s="533" t="s">
        <v>1169</v>
      </c>
      <c r="D209" s="141" t="s">
        <v>357</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7"/>
        <v>0</v>
      </c>
    </row>
    <row r="210" spans="1:27" ht="15.75">
      <c r="A210" s="508"/>
      <c r="B210" s="544"/>
      <c r="C210" s="541"/>
      <c r="D210" s="347" t="s">
        <v>358</v>
      </c>
      <c r="E210" s="199">
        <v>992.628</v>
      </c>
      <c r="F210" s="143">
        <f aca="true" t="shared" si="22"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7"/>
        <v>0</v>
      </c>
    </row>
    <row r="211" spans="1:27" ht="15.75" customHeight="1" hidden="1">
      <c r="A211" s="508"/>
      <c r="B211" s="544"/>
      <c r="C211" s="541"/>
      <c r="D211" s="347" t="s">
        <v>359</v>
      </c>
      <c r="E211" s="199">
        <v>744.44</v>
      </c>
      <c r="F211" s="143">
        <f t="shared" si="22"/>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7"/>
        <v>0</v>
      </c>
    </row>
    <row r="212" spans="1:27" ht="15.75">
      <c r="A212" s="508"/>
      <c r="B212" s="544"/>
      <c r="C212" s="541"/>
      <c r="D212" s="347" t="s">
        <v>360</v>
      </c>
      <c r="E212" s="199">
        <v>154</v>
      </c>
      <c r="F212" s="143">
        <f t="shared" si="22"/>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3" ref="AA212:AA275">N212+O212+P212+Q212+R212+S212+T212+U212-Z212</f>
        <v>0</v>
      </c>
    </row>
    <row r="213" spans="1:27" ht="15.75">
      <c r="A213" s="508"/>
      <c r="B213" s="544"/>
      <c r="C213" s="534"/>
      <c r="D213" s="347" t="s">
        <v>361</v>
      </c>
      <c r="E213" s="199">
        <v>231</v>
      </c>
      <c r="F213" s="143">
        <f t="shared" si="22"/>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3"/>
        <v>0</v>
      </c>
    </row>
    <row r="214" spans="1:27" ht="31.5">
      <c r="A214" s="508"/>
      <c r="B214" s="544"/>
      <c r="C214" s="212" t="s">
        <v>362</v>
      </c>
      <c r="D214" s="141" t="s">
        <v>363</v>
      </c>
      <c r="E214" s="142">
        <v>3074.98</v>
      </c>
      <c r="F214" s="143">
        <f t="shared" si="22"/>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3"/>
        <v>0</v>
      </c>
    </row>
    <row r="215" spans="1:27" ht="31.5" customHeight="1" hidden="1">
      <c r="A215" s="508"/>
      <c r="B215" s="544"/>
      <c r="C215" s="212" t="s">
        <v>364</v>
      </c>
      <c r="D215" s="141" t="s">
        <v>365</v>
      </c>
      <c r="E215" s="142">
        <v>85</v>
      </c>
      <c r="F215" s="143">
        <f t="shared" si="22"/>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3"/>
        <v>0</v>
      </c>
    </row>
    <row r="216" spans="1:27" ht="33.75" customHeight="1">
      <c r="A216" s="508"/>
      <c r="B216" s="544"/>
      <c r="C216" s="212" t="s">
        <v>366</v>
      </c>
      <c r="D216" s="141" t="s">
        <v>817</v>
      </c>
      <c r="E216" s="142">
        <v>3716.685</v>
      </c>
      <c r="F216" s="143">
        <f t="shared" si="22"/>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3"/>
        <v>0</v>
      </c>
    </row>
    <row r="217" spans="1:27" ht="31.5">
      <c r="A217" s="508"/>
      <c r="B217" s="544"/>
      <c r="C217" s="212" t="s">
        <v>818</v>
      </c>
      <c r="D217" s="141" t="s">
        <v>420</v>
      </c>
      <c r="E217" s="142">
        <v>1000.372</v>
      </c>
      <c r="F217" s="143">
        <f t="shared" si="22"/>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3"/>
        <v>0</v>
      </c>
    </row>
    <row r="218" spans="1:27" ht="31.5">
      <c r="A218" s="508"/>
      <c r="B218" s="544"/>
      <c r="C218" s="212" t="s">
        <v>421</v>
      </c>
      <c r="D218" s="141" t="s">
        <v>422</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3"/>
        <v>0</v>
      </c>
    </row>
    <row r="219" spans="1:27" ht="31.5" customHeight="1" hidden="1">
      <c r="A219" s="508"/>
      <c r="B219" s="544"/>
      <c r="C219" s="212" t="s">
        <v>423</v>
      </c>
      <c r="D219" s="141" t="s">
        <v>157</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3"/>
        <v>0</v>
      </c>
    </row>
    <row r="220" spans="1:27" ht="15.75" customHeight="1" hidden="1">
      <c r="A220" s="508"/>
      <c r="B220" s="544"/>
      <c r="C220" s="212" t="s">
        <v>158</v>
      </c>
      <c r="D220" s="141" t="s">
        <v>159</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3"/>
        <v>0</v>
      </c>
    </row>
    <row r="221" spans="1:27" ht="15.75" customHeight="1" hidden="1">
      <c r="A221" s="508"/>
      <c r="B221" s="544"/>
      <c r="C221" s="212" t="s">
        <v>160</v>
      </c>
      <c r="D221" s="141" t="s">
        <v>161</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3"/>
        <v>0</v>
      </c>
    </row>
    <row r="222" spans="1:27" ht="15.75" customHeight="1" hidden="1">
      <c r="A222" s="508"/>
      <c r="B222" s="544"/>
      <c r="C222" s="212" t="s">
        <v>162</v>
      </c>
      <c r="D222" s="141" t="s">
        <v>163</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3"/>
        <v>0</v>
      </c>
    </row>
    <row r="223" spans="1:27" ht="15.75" customHeight="1" hidden="1">
      <c r="A223" s="508"/>
      <c r="B223" s="544"/>
      <c r="C223" s="212"/>
      <c r="D223" s="141" t="s">
        <v>91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3"/>
        <v>0</v>
      </c>
    </row>
    <row r="224" spans="1:27" ht="15.75" customHeight="1" hidden="1">
      <c r="A224" s="508"/>
      <c r="B224" s="544"/>
      <c r="C224" s="212" t="s">
        <v>92</v>
      </c>
      <c r="D224" s="141" t="s">
        <v>93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3"/>
        <v>0</v>
      </c>
    </row>
    <row r="225" spans="1:27" ht="31.5" customHeight="1" hidden="1">
      <c r="A225" s="508"/>
      <c r="B225" s="544"/>
      <c r="C225" s="533" t="s">
        <v>94</v>
      </c>
      <c r="D225" s="141" t="s">
        <v>95</v>
      </c>
      <c r="E225" s="142"/>
      <c r="F225" s="143" t="e">
        <f aca="true" t="shared" si="24"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3"/>
        <v>0</v>
      </c>
    </row>
    <row r="226" spans="1:27" ht="15.75" customHeight="1" hidden="1">
      <c r="A226" s="508"/>
      <c r="B226" s="544"/>
      <c r="C226" s="592"/>
      <c r="D226" s="206" t="s">
        <v>96</v>
      </c>
      <c r="E226" s="142"/>
      <c r="F226" s="143" t="e">
        <f t="shared" si="24"/>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3"/>
        <v>0</v>
      </c>
    </row>
    <row r="227" spans="1:27" ht="15.75" customHeight="1" hidden="1">
      <c r="A227" s="508"/>
      <c r="B227" s="544"/>
      <c r="C227" s="592"/>
      <c r="D227" s="206" t="s">
        <v>97</v>
      </c>
      <c r="E227" s="142"/>
      <c r="F227" s="143" t="e">
        <f t="shared" si="24"/>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3"/>
        <v>0</v>
      </c>
    </row>
    <row r="228" spans="1:27" ht="15.75" customHeight="1" hidden="1">
      <c r="A228" s="508"/>
      <c r="B228" s="544"/>
      <c r="C228" s="592"/>
      <c r="D228" s="206" t="s">
        <v>98</v>
      </c>
      <c r="E228" s="142"/>
      <c r="F228" s="143" t="e">
        <f t="shared" si="24"/>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3"/>
        <v>0</v>
      </c>
    </row>
    <row r="229" spans="1:27" ht="15.75" customHeight="1" hidden="1">
      <c r="A229" s="508"/>
      <c r="B229" s="544"/>
      <c r="C229" s="592"/>
      <c r="D229" s="206" t="s">
        <v>99</v>
      </c>
      <c r="E229" s="142"/>
      <c r="F229" s="143" t="e">
        <f t="shared" si="24"/>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3"/>
        <v>0</v>
      </c>
    </row>
    <row r="230" spans="1:27" ht="15.75" customHeight="1" hidden="1">
      <c r="A230" s="508"/>
      <c r="B230" s="544"/>
      <c r="C230" s="592"/>
      <c r="D230" s="206" t="s">
        <v>100</v>
      </c>
      <c r="E230" s="142"/>
      <c r="F230" s="143" t="e">
        <f t="shared" si="24"/>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3"/>
        <v>0</v>
      </c>
    </row>
    <row r="231" spans="1:27" ht="15.75" customHeight="1" hidden="1">
      <c r="A231" s="508"/>
      <c r="B231" s="544"/>
      <c r="C231" s="592"/>
      <c r="D231" s="206" t="s">
        <v>101</v>
      </c>
      <c r="E231" s="142"/>
      <c r="F231" s="143" t="e">
        <f t="shared" si="24"/>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3"/>
        <v>0</v>
      </c>
    </row>
    <row r="232" spans="1:27" ht="15.75" customHeight="1" hidden="1">
      <c r="A232" s="508"/>
      <c r="B232" s="544"/>
      <c r="C232" s="592"/>
      <c r="D232" s="206" t="s">
        <v>102</v>
      </c>
      <c r="E232" s="142"/>
      <c r="F232" s="143" t="e">
        <f t="shared" si="24"/>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3"/>
        <v>0</v>
      </c>
    </row>
    <row r="233" spans="1:27" ht="15.75" customHeight="1" hidden="1">
      <c r="A233" s="508"/>
      <c r="B233" s="544"/>
      <c r="C233" s="592"/>
      <c r="D233" s="206" t="s">
        <v>103</v>
      </c>
      <c r="E233" s="142"/>
      <c r="F233" s="143" t="e">
        <f t="shared" si="24"/>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3"/>
        <v>0</v>
      </c>
    </row>
    <row r="234" spans="1:27" ht="15.75" customHeight="1" hidden="1">
      <c r="A234" s="508"/>
      <c r="B234" s="544"/>
      <c r="C234" s="592"/>
      <c r="D234" s="206" t="s">
        <v>104</v>
      </c>
      <c r="E234" s="142"/>
      <c r="F234" s="143" t="e">
        <f t="shared" si="24"/>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3"/>
        <v>0</v>
      </c>
    </row>
    <row r="235" spans="1:27" ht="15.75" customHeight="1" hidden="1">
      <c r="A235" s="508"/>
      <c r="B235" s="544"/>
      <c r="C235" s="592"/>
      <c r="D235" s="206" t="s">
        <v>105</v>
      </c>
      <c r="E235" s="142"/>
      <c r="F235" s="143" t="e">
        <f t="shared" si="24"/>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3"/>
        <v>0</v>
      </c>
    </row>
    <row r="236" spans="1:27" ht="15.75" customHeight="1" hidden="1">
      <c r="A236" s="508"/>
      <c r="B236" s="544"/>
      <c r="C236" s="592"/>
      <c r="D236" s="206" t="s">
        <v>106</v>
      </c>
      <c r="E236" s="142"/>
      <c r="F236" s="143" t="e">
        <f t="shared" si="24"/>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3"/>
        <v>0</v>
      </c>
    </row>
    <row r="237" spans="1:27" ht="31.5" customHeight="1" hidden="1">
      <c r="A237" s="508"/>
      <c r="B237" s="544"/>
      <c r="C237" s="592"/>
      <c r="D237" s="141" t="s">
        <v>491</v>
      </c>
      <c r="E237" s="142"/>
      <c r="F237" s="143" t="e">
        <f t="shared" si="24"/>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3"/>
        <v>0</v>
      </c>
    </row>
    <row r="238" spans="1:27" ht="15.75" customHeight="1" hidden="1">
      <c r="A238" s="508"/>
      <c r="B238" s="544"/>
      <c r="C238" s="592"/>
      <c r="D238" s="198" t="s">
        <v>492</v>
      </c>
      <c r="E238" s="142"/>
      <c r="F238" s="143" t="e">
        <f t="shared" si="24"/>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3"/>
        <v>0</v>
      </c>
    </row>
    <row r="239" spans="1:27" ht="15.75" customHeight="1" hidden="1">
      <c r="A239" s="508"/>
      <c r="B239" s="544"/>
      <c r="C239" s="592"/>
      <c r="D239" s="198" t="s">
        <v>493</v>
      </c>
      <c r="E239" s="142"/>
      <c r="F239" s="143" t="e">
        <f t="shared" si="24"/>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3"/>
        <v>0</v>
      </c>
    </row>
    <row r="240" spans="1:27" ht="15.75" customHeight="1" hidden="1">
      <c r="A240" s="508"/>
      <c r="B240" s="544"/>
      <c r="C240" s="592"/>
      <c r="D240" s="198" t="s">
        <v>494</v>
      </c>
      <c r="E240" s="142"/>
      <c r="F240" s="143" t="e">
        <f t="shared" si="24"/>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3"/>
        <v>0</v>
      </c>
    </row>
    <row r="241" spans="1:27" ht="15.75" customHeight="1" hidden="1">
      <c r="A241" s="508"/>
      <c r="B241" s="544"/>
      <c r="C241" s="592"/>
      <c r="D241" s="198" t="s">
        <v>495</v>
      </c>
      <c r="E241" s="142"/>
      <c r="F241" s="143" t="e">
        <f t="shared" si="24"/>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3"/>
        <v>0</v>
      </c>
    </row>
    <row r="242" spans="1:27" ht="15.75" customHeight="1" hidden="1">
      <c r="A242" s="508"/>
      <c r="B242" s="544"/>
      <c r="C242" s="592"/>
      <c r="D242" s="198" t="s">
        <v>496</v>
      </c>
      <c r="E242" s="142"/>
      <c r="F242" s="143" t="e">
        <f t="shared" si="24"/>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3"/>
        <v>0</v>
      </c>
    </row>
    <row r="243" spans="1:27" ht="15.75" customHeight="1" hidden="1">
      <c r="A243" s="508"/>
      <c r="B243" s="544"/>
      <c r="C243" s="592"/>
      <c r="D243" s="198" t="s">
        <v>497</v>
      </c>
      <c r="E243" s="142"/>
      <c r="F243" s="143" t="e">
        <f t="shared" si="24"/>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3"/>
        <v>0</v>
      </c>
    </row>
    <row r="244" spans="1:27" ht="15.75" customHeight="1" hidden="1">
      <c r="A244" s="508"/>
      <c r="B244" s="544"/>
      <c r="C244" s="592"/>
      <c r="D244" s="198" t="s">
        <v>498</v>
      </c>
      <c r="E244" s="142"/>
      <c r="F244" s="143" t="e">
        <f t="shared" si="24"/>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3"/>
        <v>0</v>
      </c>
    </row>
    <row r="245" spans="1:27" ht="15.75" customHeight="1" hidden="1">
      <c r="A245" s="508"/>
      <c r="B245" s="544"/>
      <c r="C245" s="592"/>
      <c r="D245" s="198" t="s">
        <v>438</v>
      </c>
      <c r="E245" s="142"/>
      <c r="F245" s="143" t="e">
        <f t="shared" si="24"/>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3"/>
        <v>0</v>
      </c>
    </row>
    <row r="246" spans="1:27" ht="15.75" customHeight="1" hidden="1">
      <c r="A246" s="508"/>
      <c r="B246" s="544"/>
      <c r="C246" s="592"/>
      <c r="D246" s="198" t="s">
        <v>0</v>
      </c>
      <c r="E246" s="142"/>
      <c r="F246" s="143" t="e">
        <f t="shared" si="24"/>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3"/>
        <v>0</v>
      </c>
    </row>
    <row r="247" spans="1:27" ht="15.75" customHeight="1" hidden="1">
      <c r="A247" s="508"/>
      <c r="B247" s="544"/>
      <c r="C247" s="592"/>
      <c r="D247" s="198" t="s">
        <v>1</v>
      </c>
      <c r="E247" s="142"/>
      <c r="F247" s="143" t="e">
        <f t="shared" si="24"/>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3"/>
        <v>0</v>
      </c>
    </row>
    <row r="248" spans="1:27" ht="31.5" customHeight="1" hidden="1">
      <c r="A248" s="508"/>
      <c r="B248" s="544"/>
      <c r="C248" s="593"/>
      <c r="D248" s="198" t="s">
        <v>2</v>
      </c>
      <c r="E248" s="142"/>
      <c r="F248" s="143" t="e">
        <f t="shared" si="24"/>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3"/>
        <v>0</v>
      </c>
    </row>
    <row r="249" spans="1:27" ht="15.75" customHeight="1" hidden="1">
      <c r="A249" s="508"/>
      <c r="B249" s="544"/>
      <c r="C249" s="212" t="s">
        <v>3</v>
      </c>
      <c r="D249" s="141" t="s">
        <v>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3"/>
        <v>0</v>
      </c>
    </row>
    <row r="250" spans="1:27" ht="15.75" customHeight="1" hidden="1">
      <c r="A250" s="508"/>
      <c r="B250" s="544"/>
      <c r="C250" s="212"/>
      <c r="D250" s="141" t="s">
        <v>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3"/>
        <v>0</v>
      </c>
    </row>
    <row r="251" spans="1:27" ht="16.5" customHeight="1">
      <c r="A251" s="508"/>
      <c r="B251" s="544"/>
      <c r="C251" s="212"/>
      <c r="D251" s="141" t="s">
        <v>444</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3"/>
        <v>0</v>
      </c>
    </row>
    <row r="252" spans="1:27" ht="31.5">
      <c r="A252" s="508"/>
      <c r="B252" s="544"/>
      <c r="C252" s="212"/>
      <c r="D252" s="141" t="s">
        <v>445</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3"/>
        <v>0</v>
      </c>
    </row>
    <row r="253" spans="1:27" s="362" customFormat="1" ht="31.5">
      <c r="A253" s="508"/>
      <c r="B253" s="544"/>
      <c r="C253" s="212"/>
      <c r="D253" s="358" t="s">
        <v>457</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3"/>
        <v>12060</v>
      </c>
    </row>
    <row r="254" spans="1:27" s="362" customFormat="1" ht="31.5">
      <c r="A254" s="508"/>
      <c r="B254" s="544"/>
      <c r="C254" s="212"/>
      <c r="D254" s="363" t="s">
        <v>458</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3"/>
        <v>59730.4</v>
      </c>
    </row>
    <row r="255" spans="1:27" s="362" customFormat="1" ht="31.5">
      <c r="A255" s="508"/>
      <c r="B255" s="544"/>
      <c r="C255" s="212"/>
      <c r="D255" s="358" t="s">
        <v>459</v>
      </c>
      <c r="E255" s="142"/>
      <c r="F255" s="143"/>
      <c r="G255" s="142"/>
      <c r="H255" s="418"/>
      <c r="I255" s="393">
        <f>I256+I257</f>
        <v>260000</v>
      </c>
      <c r="J255" s="393">
        <f aca="true" t="shared" si="25" ref="J255:Z255">J256+J257</f>
        <v>0</v>
      </c>
      <c r="K255" s="393">
        <f t="shared" si="25"/>
        <v>0</v>
      </c>
      <c r="L255" s="393">
        <f t="shared" si="25"/>
        <v>0</v>
      </c>
      <c r="M255" s="393">
        <f t="shared" si="25"/>
        <v>260000</v>
      </c>
      <c r="N255" s="393">
        <f t="shared" si="25"/>
        <v>0</v>
      </c>
      <c r="O255" s="393">
        <f t="shared" si="25"/>
        <v>0</v>
      </c>
      <c r="P255" s="393">
        <f t="shared" si="25"/>
        <v>0</v>
      </c>
      <c r="Q255" s="393">
        <f t="shared" si="25"/>
        <v>0</v>
      </c>
      <c r="R255" s="393">
        <f t="shared" si="25"/>
        <v>2500</v>
      </c>
      <c r="S255" s="393">
        <f t="shared" si="25"/>
        <v>84500</v>
      </c>
      <c r="T255" s="393">
        <f t="shared" si="25"/>
        <v>0</v>
      </c>
      <c r="U255" s="393">
        <f t="shared" si="25"/>
        <v>173000</v>
      </c>
      <c r="V255" s="393">
        <f t="shared" si="25"/>
        <v>0</v>
      </c>
      <c r="W255" s="393">
        <f t="shared" si="25"/>
        <v>0</v>
      </c>
      <c r="X255" s="393">
        <f t="shared" si="25"/>
        <v>0</v>
      </c>
      <c r="Y255" s="393">
        <f t="shared" si="25"/>
        <v>0</v>
      </c>
      <c r="Z255" s="393">
        <f t="shared" si="25"/>
        <v>3951.57</v>
      </c>
      <c r="AA255" s="408">
        <f t="shared" si="23"/>
        <v>256048.43</v>
      </c>
    </row>
    <row r="256" spans="1:27" s="366" customFormat="1" ht="15.75">
      <c r="A256" s="508"/>
      <c r="B256" s="544"/>
      <c r="C256" s="364"/>
      <c r="D256" s="365" t="s">
        <v>460</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3"/>
        <v>29108.75</v>
      </c>
    </row>
    <row r="257" spans="1:27" s="366" customFormat="1" ht="15.75">
      <c r="A257" s="508"/>
      <c r="B257" s="544"/>
      <c r="C257" s="364"/>
      <c r="D257" s="365" t="s">
        <v>461</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3"/>
        <v>226939.68</v>
      </c>
    </row>
    <row r="258" spans="1:27" s="362" customFormat="1" ht="47.25">
      <c r="A258" s="508"/>
      <c r="B258" s="544"/>
      <c r="C258" s="212"/>
      <c r="D258" s="367" t="s">
        <v>897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3"/>
        <v>128527.12</v>
      </c>
    </row>
    <row r="259" spans="1:27" s="362" customFormat="1" ht="47.25">
      <c r="A259" s="508"/>
      <c r="B259" s="544"/>
      <c r="C259" s="212"/>
      <c r="D259" s="359" t="s">
        <v>1368</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3"/>
        <v>246453.55</v>
      </c>
    </row>
    <row r="260" spans="1:27" s="362" customFormat="1" ht="31.5">
      <c r="A260" s="508"/>
      <c r="B260" s="544"/>
      <c r="C260" s="212"/>
      <c r="D260" s="359" t="s">
        <v>217</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3"/>
        <v>140000</v>
      </c>
    </row>
    <row r="261" spans="1:27" s="362" customFormat="1" ht="47.25">
      <c r="A261" s="508"/>
      <c r="B261" s="544"/>
      <c r="C261" s="212"/>
      <c r="D261" s="359" t="s">
        <v>1287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3"/>
        <v>50000</v>
      </c>
    </row>
    <row r="262" spans="1:27" s="362" customFormat="1" ht="15.75">
      <c r="A262" s="508"/>
      <c r="B262" s="544"/>
      <c r="C262" s="212"/>
      <c r="D262" s="361" t="s">
        <v>1639</v>
      </c>
      <c r="E262" s="142"/>
      <c r="F262" s="143"/>
      <c r="G262" s="142"/>
      <c r="H262" s="418"/>
      <c r="I262" s="392">
        <f>SUM(I263:I268)</f>
        <v>1238728.5</v>
      </c>
      <c r="J262" s="392">
        <f aca="true" t="shared" si="26" ref="J262:Z262">SUM(J263:J268)</f>
        <v>0</v>
      </c>
      <c r="K262" s="392">
        <f t="shared" si="26"/>
        <v>0</v>
      </c>
      <c r="L262" s="392">
        <f t="shared" si="26"/>
        <v>0</v>
      </c>
      <c r="M262" s="392">
        <f t="shared" si="26"/>
        <v>1238728.5</v>
      </c>
      <c r="N262" s="392">
        <f t="shared" si="26"/>
        <v>0</v>
      </c>
      <c r="O262" s="392">
        <f t="shared" si="26"/>
        <v>0</v>
      </c>
      <c r="P262" s="392">
        <f t="shared" si="26"/>
        <v>0</v>
      </c>
      <c r="Q262" s="392">
        <f t="shared" si="26"/>
        <v>0</v>
      </c>
      <c r="R262" s="392">
        <f t="shared" si="26"/>
        <v>107500</v>
      </c>
      <c r="S262" s="392">
        <f t="shared" si="26"/>
        <v>196500</v>
      </c>
      <c r="T262" s="392">
        <f t="shared" si="26"/>
        <v>211117</v>
      </c>
      <c r="U262" s="392">
        <f t="shared" si="26"/>
        <v>504123</v>
      </c>
      <c r="V262" s="392">
        <f t="shared" si="26"/>
        <v>179488.5</v>
      </c>
      <c r="W262" s="392">
        <f t="shared" si="26"/>
        <v>0</v>
      </c>
      <c r="X262" s="392">
        <f t="shared" si="26"/>
        <v>40000</v>
      </c>
      <c r="Y262" s="392">
        <f t="shared" si="26"/>
        <v>0</v>
      </c>
      <c r="Z262" s="392">
        <f t="shared" si="26"/>
        <v>158882.43</v>
      </c>
      <c r="AA262" s="408">
        <f t="shared" si="23"/>
        <v>860357.57</v>
      </c>
    </row>
    <row r="263" spans="1:27" s="366" customFormat="1" ht="15.75">
      <c r="A263" s="508"/>
      <c r="B263" s="544"/>
      <c r="C263" s="364"/>
      <c r="D263" s="386" t="s">
        <v>1288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3"/>
        <v>31000</v>
      </c>
    </row>
    <row r="264" spans="1:27" s="366" customFormat="1" ht="15.75">
      <c r="A264" s="508"/>
      <c r="B264" s="544"/>
      <c r="C264" s="364"/>
      <c r="D264" s="386" t="s">
        <v>1289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3"/>
        <v>156153.17</v>
      </c>
    </row>
    <row r="265" spans="1:27" s="366" customFormat="1" ht="15.75">
      <c r="A265" s="508"/>
      <c r="B265" s="544"/>
      <c r="C265" s="364"/>
      <c r="D265" s="386" t="s">
        <v>1290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3"/>
        <v>60000</v>
      </c>
    </row>
    <row r="266" spans="1:27" s="366" customFormat="1" ht="15.75">
      <c r="A266" s="508"/>
      <c r="B266" s="544"/>
      <c r="C266" s="364"/>
      <c r="D266" s="386" t="s">
        <v>776</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3"/>
        <v>183738</v>
      </c>
    </row>
    <row r="267" spans="1:27" s="366" customFormat="1" ht="15.75">
      <c r="A267" s="508"/>
      <c r="B267" s="544"/>
      <c r="C267" s="364"/>
      <c r="D267" s="386" t="s">
        <v>1291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3"/>
        <v>9081.4</v>
      </c>
    </row>
    <row r="268" spans="1:27" s="366" customFormat="1" ht="15.75">
      <c r="A268" s="508"/>
      <c r="B268" s="544"/>
      <c r="C268" s="364"/>
      <c r="D268" s="386" t="s">
        <v>777</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3"/>
        <v>420385</v>
      </c>
    </row>
    <row r="269" spans="1:27" s="362" customFormat="1" ht="31.5">
      <c r="A269" s="508"/>
      <c r="B269" s="544"/>
      <c r="C269" s="212"/>
      <c r="D269" s="358" t="s">
        <v>1376</v>
      </c>
      <c r="E269" s="142"/>
      <c r="F269" s="143"/>
      <c r="G269" s="142"/>
      <c r="H269" s="418"/>
      <c r="I269" s="394">
        <f>I270+I271+I272+I273</f>
        <v>1395600</v>
      </c>
      <c r="J269" s="394">
        <f aca="true" t="shared" si="27" ref="J269:Z269">J270+J271+J272+J273</f>
        <v>0</v>
      </c>
      <c r="K269" s="394">
        <f t="shared" si="27"/>
        <v>0</v>
      </c>
      <c r="L269" s="394">
        <f t="shared" si="27"/>
        <v>0</v>
      </c>
      <c r="M269" s="394">
        <f t="shared" si="27"/>
        <v>1395600</v>
      </c>
      <c r="N269" s="394">
        <f t="shared" si="27"/>
        <v>0</v>
      </c>
      <c r="O269" s="394">
        <f t="shared" si="27"/>
        <v>0</v>
      </c>
      <c r="P269" s="394">
        <f t="shared" si="27"/>
        <v>0</v>
      </c>
      <c r="Q269" s="394">
        <f t="shared" si="27"/>
        <v>0</v>
      </c>
      <c r="R269" s="394">
        <f t="shared" si="27"/>
        <v>106680</v>
      </c>
      <c r="S269" s="394">
        <f t="shared" si="27"/>
        <v>99000</v>
      </c>
      <c r="T269" s="394">
        <f t="shared" si="27"/>
        <v>135000</v>
      </c>
      <c r="U269" s="394">
        <f t="shared" si="27"/>
        <v>250000</v>
      </c>
      <c r="V269" s="394">
        <f t="shared" si="27"/>
        <v>363000</v>
      </c>
      <c r="W269" s="394">
        <f t="shared" si="27"/>
        <v>0</v>
      </c>
      <c r="X269" s="394">
        <f t="shared" si="27"/>
        <v>305000</v>
      </c>
      <c r="Y269" s="394">
        <f t="shared" si="27"/>
        <v>136920</v>
      </c>
      <c r="Z269" s="394">
        <f t="shared" si="27"/>
        <v>147537.75</v>
      </c>
      <c r="AA269" s="408">
        <f t="shared" si="23"/>
        <v>443142.25</v>
      </c>
    </row>
    <row r="270" spans="1:27" s="366" customFormat="1" ht="15.75">
      <c r="A270" s="508"/>
      <c r="B270" s="544"/>
      <c r="C270" s="364"/>
      <c r="D270" s="387" t="s">
        <v>1377</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3"/>
        <v>271416.25</v>
      </c>
    </row>
    <row r="271" spans="1:27" s="366" customFormat="1" ht="15.75">
      <c r="A271" s="508"/>
      <c r="B271" s="544"/>
      <c r="C271" s="364"/>
      <c r="D271" s="387" t="s">
        <v>1378</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3"/>
        <v>85000</v>
      </c>
    </row>
    <row r="272" spans="1:27" s="366" customFormat="1" ht="15.75">
      <c r="A272" s="508"/>
      <c r="B272" s="544"/>
      <c r="C272" s="364"/>
      <c r="D272" s="387" t="s">
        <v>1379</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3"/>
        <v>65000</v>
      </c>
    </row>
    <row r="273" spans="1:27" s="366" customFormat="1" ht="15.75">
      <c r="A273" s="508"/>
      <c r="B273" s="544"/>
      <c r="C273" s="364"/>
      <c r="D273" s="387" t="s">
        <v>1380</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3"/>
        <v>21726</v>
      </c>
    </row>
    <row r="274" spans="1:27" s="362" customFormat="1" ht="31.5">
      <c r="A274" s="508"/>
      <c r="B274" s="544"/>
      <c r="C274" s="212"/>
      <c r="D274" s="358" t="s">
        <v>482</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3"/>
        <v>45854</v>
      </c>
    </row>
    <row r="275" spans="1:27" s="362" customFormat="1" ht="31.5">
      <c r="A275" s="508"/>
      <c r="B275" s="544"/>
      <c r="C275" s="212"/>
      <c r="D275" s="14" t="s">
        <v>214</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3"/>
        <v>40500</v>
      </c>
    </row>
    <row r="276" spans="1:27" s="362" customFormat="1" ht="31.5">
      <c r="A276" s="508"/>
      <c r="B276" s="544"/>
      <c r="C276" s="212"/>
      <c r="D276" s="14" t="s">
        <v>215</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8" ref="AA276:AA339">N276+O276+P276+Q276+R276+S276+T276+U276-Z276</f>
        <v>210500</v>
      </c>
    </row>
    <row r="277" spans="1:27" s="362" customFormat="1" ht="31.5">
      <c r="A277" s="508"/>
      <c r="B277" s="544"/>
      <c r="C277" s="212"/>
      <c r="D277" s="358" t="s">
        <v>1339</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8"/>
        <v>100000</v>
      </c>
    </row>
    <row r="278" spans="1:27" s="362" customFormat="1" ht="31.5">
      <c r="A278" s="508"/>
      <c r="B278" s="544"/>
      <c r="C278" s="212"/>
      <c r="D278" s="358" t="s">
        <v>1340</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8"/>
        <v>44257</v>
      </c>
    </row>
    <row r="279" spans="1:27" s="362" customFormat="1" ht="15.75">
      <c r="A279" s="508"/>
      <c r="B279" s="544"/>
      <c r="C279" s="212"/>
      <c r="D279" s="358" t="s">
        <v>1341</v>
      </c>
      <c r="E279" s="142"/>
      <c r="F279" s="143"/>
      <c r="G279" s="142"/>
      <c r="H279" s="418"/>
      <c r="I279" s="395">
        <f>SUM(I280:I284)</f>
        <v>230000</v>
      </c>
      <c r="J279" s="395">
        <f aca="true" t="shared" si="29" ref="J279:Z279">SUM(J280:J284)</f>
        <v>0</v>
      </c>
      <c r="K279" s="395">
        <f t="shared" si="29"/>
        <v>0</v>
      </c>
      <c r="L279" s="395">
        <f t="shared" si="29"/>
        <v>0</v>
      </c>
      <c r="M279" s="395">
        <f t="shared" si="29"/>
        <v>230000</v>
      </c>
      <c r="N279" s="395">
        <f t="shared" si="29"/>
        <v>0</v>
      </c>
      <c r="O279" s="395">
        <f t="shared" si="29"/>
        <v>0</v>
      </c>
      <c r="P279" s="395">
        <f t="shared" si="29"/>
        <v>0</v>
      </c>
      <c r="Q279" s="395">
        <f t="shared" si="29"/>
        <v>0</v>
      </c>
      <c r="R279" s="395">
        <f t="shared" si="29"/>
        <v>18000</v>
      </c>
      <c r="S279" s="395">
        <f t="shared" si="29"/>
        <v>82000</v>
      </c>
      <c r="T279" s="395">
        <f t="shared" si="29"/>
        <v>0</v>
      </c>
      <c r="U279" s="395">
        <f t="shared" si="29"/>
        <v>90000</v>
      </c>
      <c r="V279" s="395">
        <f t="shared" si="29"/>
        <v>0</v>
      </c>
      <c r="W279" s="395">
        <f t="shared" si="29"/>
        <v>0</v>
      </c>
      <c r="X279" s="395">
        <f t="shared" si="29"/>
        <v>40000</v>
      </c>
      <c r="Y279" s="395">
        <f t="shared" si="29"/>
        <v>0</v>
      </c>
      <c r="Z279" s="395">
        <f t="shared" si="29"/>
        <v>11051.11</v>
      </c>
      <c r="AA279" s="408">
        <f t="shared" si="28"/>
        <v>178948.89</v>
      </c>
    </row>
    <row r="280" spans="1:27" s="366" customFormat="1" ht="15.75">
      <c r="A280" s="508"/>
      <c r="B280" s="544"/>
      <c r="C280" s="364"/>
      <c r="D280" s="387" t="s">
        <v>1342</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8"/>
        <v>130000</v>
      </c>
    </row>
    <row r="281" spans="1:27" s="366" customFormat="1" ht="15.75">
      <c r="A281" s="508"/>
      <c r="B281" s="544"/>
      <c r="C281" s="364"/>
      <c r="D281" s="387" t="s">
        <v>1343</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8"/>
        <v>12678.54</v>
      </c>
    </row>
    <row r="282" spans="1:27" s="366" customFormat="1" ht="15.75">
      <c r="A282" s="508"/>
      <c r="B282" s="544"/>
      <c r="C282" s="364"/>
      <c r="D282" s="387" t="s">
        <v>1344</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8"/>
        <v>12695.03</v>
      </c>
    </row>
    <row r="283" spans="1:27" s="366" customFormat="1" ht="15.75">
      <c r="A283" s="508"/>
      <c r="B283" s="544"/>
      <c r="C283" s="364"/>
      <c r="D283" s="387" t="s">
        <v>1345</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8"/>
        <v>9793.2</v>
      </c>
    </row>
    <row r="284" spans="1:27" s="366" customFormat="1" ht="15.75">
      <c r="A284" s="508"/>
      <c r="B284" s="544"/>
      <c r="C284" s="364"/>
      <c r="D284" s="387" t="s">
        <v>427</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28"/>
        <v>13782.12</v>
      </c>
    </row>
    <row r="285" spans="1:27" s="362" customFormat="1" ht="17.25" customHeight="1">
      <c r="A285" s="508"/>
      <c r="B285" s="544"/>
      <c r="C285" s="212"/>
      <c r="D285" s="358" t="s">
        <v>428</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8"/>
        <v>116408.3</v>
      </c>
    </row>
    <row r="286" spans="1:27" s="362" customFormat="1" ht="31.5">
      <c r="A286" s="508"/>
      <c r="B286" s="544"/>
      <c r="C286" s="212"/>
      <c r="D286" s="358" t="s">
        <v>216</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8"/>
        <v>147610.34</v>
      </c>
    </row>
    <row r="287" spans="1:27" s="362" customFormat="1" ht="31.5">
      <c r="A287" s="508"/>
      <c r="B287" s="544"/>
      <c r="C287" s="212"/>
      <c r="D287" s="358" t="s">
        <v>87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28"/>
        <v>76153.31</v>
      </c>
    </row>
    <row r="288" spans="1:27" s="362" customFormat="1" ht="31.5">
      <c r="A288" s="508"/>
      <c r="B288" s="544"/>
      <c r="C288" s="212"/>
      <c r="D288" s="360" t="s">
        <v>838</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8"/>
        <v>129858.14</v>
      </c>
    </row>
    <row r="289" spans="1:28" s="362" customFormat="1" ht="15.75">
      <c r="A289" s="508"/>
      <c r="B289" s="544"/>
      <c r="C289" s="212"/>
      <c r="D289" s="359" t="s">
        <v>839</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8"/>
        <v>1104739.88</v>
      </c>
      <c r="AB289" s="362" t="s">
        <v>1455</v>
      </c>
    </row>
    <row r="290" spans="1:27" s="362" customFormat="1" ht="15.75">
      <c r="A290" s="508"/>
      <c r="B290" s="544"/>
      <c r="C290" s="212"/>
      <c r="D290" s="358" t="s">
        <v>840</v>
      </c>
      <c r="E290" s="199"/>
      <c r="F290" s="200"/>
      <c r="G290" s="199"/>
      <c r="H290" s="418"/>
      <c r="I290" s="392">
        <f>SUM(I291:I294)</f>
        <v>1876520</v>
      </c>
      <c r="J290" s="392">
        <f>SUM(J291:J294)</f>
        <v>0</v>
      </c>
      <c r="K290" s="392">
        <f>SUM(K291:K294)</f>
        <v>0</v>
      </c>
      <c r="L290" s="392">
        <f>SUM(L291:L294)</f>
        <v>0</v>
      </c>
      <c r="M290" s="392">
        <f>SUM(M291:M294)</f>
        <v>1876520</v>
      </c>
      <c r="N290" s="392">
        <f aca="true" t="shared" si="30" ref="N290:Y290">SUM(N291:N294)</f>
        <v>0</v>
      </c>
      <c r="O290" s="392">
        <f t="shared" si="30"/>
        <v>0</v>
      </c>
      <c r="P290" s="392">
        <f t="shared" si="30"/>
        <v>0</v>
      </c>
      <c r="Q290" s="392">
        <f t="shared" si="30"/>
        <v>0</v>
      </c>
      <c r="R290" s="392">
        <f t="shared" si="30"/>
        <v>18000</v>
      </c>
      <c r="S290" s="392">
        <f t="shared" si="30"/>
        <v>196926</v>
      </c>
      <c r="T290" s="392">
        <f t="shared" si="30"/>
        <v>360000</v>
      </c>
      <c r="U290" s="392">
        <f t="shared" si="30"/>
        <v>461494</v>
      </c>
      <c r="V290" s="392">
        <f t="shared" si="30"/>
        <v>0</v>
      </c>
      <c r="W290" s="392">
        <f t="shared" si="30"/>
        <v>420050</v>
      </c>
      <c r="X290" s="392">
        <f t="shared" si="30"/>
        <v>0</v>
      </c>
      <c r="Y290" s="392">
        <f t="shared" si="30"/>
        <v>420050</v>
      </c>
      <c r="Z290" s="392">
        <f>SUM(Z291:Z294)</f>
        <v>104224.93</v>
      </c>
      <c r="AA290" s="408">
        <f t="shared" si="28"/>
        <v>932195.07</v>
      </c>
    </row>
    <row r="291" spans="1:27" s="366" customFormat="1" ht="15.75">
      <c r="A291" s="508"/>
      <c r="B291" s="544"/>
      <c r="C291" s="364"/>
      <c r="D291" s="386" t="s">
        <v>841</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8"/>
        <v>360000</v>
      </c>
    </row>
    <row r="292" spans="1:27" s="366" customFormat="1" ht="15.75">
      <c r="A292" s="508"/>
      <c r="B292" s="544"/>
      <c r="C292" s="364"/>
      <c r="D292" s="386" t="s">
        <v>485</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28"/>
        <v>244627.55</v>
      </c>
    </row>
    <row r="293" spans="1:27" s="366" customFormat="1" ht="15.75">
      <c r="A293" s="508"/>
      <c r="B293" s="544"/>
      <c r="C293" s="364"/>
      <c r="D293" s="386" t="s">
        <v>486</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8"/>
        <v>20073.52</v>
      </c>
    </row>
    <row r="294" spans="1:27" s="366" customFormat="1" ht="15.75">
      <c r="A294" s="508"/>
      <c r="B294" s="544"/>
      <c r="C294" s="364"/>
      <c r="D294" s="386" t="s">
        <v>487</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8"/>
        <v>307494</v>
      </c>
    </row>
    <row r="295" spans="1:27" s="362" customFormat="1" ht="31.5">
      <c r="A295" s="508"/>
      <c r="B295" s="544"/>
      <c r="C295" s="212"/>
      <c r="D295" s="360" t="s">
        <v>107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8"/>
        <v>78410</v>
      </c>
    </row>
    <row r="296" spans="1:27" s="362" customFormat="1" ht="31.5">
      <c r="A296" s="508"/>
      <c r="B296" s="544"/>
      <c r="C296" s="212"/>
      <c r="D296" s="360" t="s">
        <v>108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8"/>
        <v>80000</v>
      </c>
    </row>
    <row r="297" spans="1:27" s="362" customFormat="1" ht="31.5" customHeight="1">
      <c r="A297" s="508"/>
      <c r="B297" s="544"/>
      <c r="C297" s="212"/>
      <c r="D297" s="358" t="s">
        <v>109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8"/>
        <v>75455</v>
      </c>
    </row>
    <row r="298" spans="1:27" s="362" customFormat="1" ht="15.75">
      <c r="A298" s="508"/>
      <c r="B298" s="544"/>
      <c r="C298" s="212"/>
      <c r="D298" s="361" t="s">
        <v>357</v>
      </c>
      <c r="E298" s="142"/>
      <c r="F298" s="143"/>
      <c r="G298" s="142"/>
      <c r="H298" s="418"/>
      <c r="I298" s="392">
        <f>SUM(I299:I304)</f>
        <v>1543460.4</v>
      </c>
      <c r="J298" s="392">
        <f aca="true" t="shared" si="31" ref="J298:Z298">SUM(J299:J304)</f>
        <v>0</v>
      </c>
      <c r="K298" s="392">
        <f t="shared" si="31"/>
        <v>0</v>
      </c>
      <c r="L298" s="392">
        <f t="shared" si="31"/>
        <v>0</v>
      </c>
      <c r="M298" s="392">
        <f t="shared" si="31"/>
        <v>1543460.4</v>
      </c>
      <c r="N298" s="392">
        <f t="shared" si="31"/>
        <v>0</v>
      </c>
      <c r="O298" s="392">
        <f t="shared" si="31"/>
        <v>0</v>
      </c>
      <c r="P298" s="392">
        <f t="shared" si="31"/>
        <v>0</v>
      </c>
      <c r="Q298" s="392">
        <f t="shared" si="31"/>
        <v>0</v>
      </c>
      <c r="R298" s="392">
        <f t="shared" si="31"/>
        <v>329620</v>
      </c>
      <c r="S298" s="392">
        <f t="shared" si="31"/>
        <v>217200</v>
      </c>
      <c r="T298" s="392">
        <f t="shared" si="31"/>
        <v>359190.4</v>
      </c>
      <c r="U298" s="392">
        <f t="shared" si="31"/>
        <v>375000</v>
      </c>
      <c r="V298" s="392">
        <f t="shared" si="31"/>
        <v>108150</v>
      </c>
      <c r="W298" s="392">
        <f t="shared" si="31"/>
        <v>100000</v>
      </c>
      <c r="X298" s="392">
        <f t="shared" si="31"/>
        <v>54300</v>
      </c>
      <c r="Y298" s="392">
        <f t="shared" si="31"/>
        <v>0</v>
      </c>
      <c r="Z298" s="392">
        <f t="shared" si="31"/>
        <v>278067.1</v>
      </c>
      <c r="AA298" s="408">
        <f t="shared" si="28"/>
        <v>1002943.3</v>
      </c>
    </row>
    <row r="299" spans="1:27" s="366" customFormat="1" ht="15.75">
      <c r="A299" s="508"/>
      <c r="B299" s="544"/>
      <c r="C299" s="364"/>
      <c r="D299" s="386" t="s">
        <v>110</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8"/>
        <v>360021.48</v>
      </c>
    </row>
    <row r="300" spans="1:27" s="366" customFormat="1" ht="15.75">
      <c r="A300" s="508"/>
      <c r="B300" s="544"/>
      <c r="C300" s="364"/>
      <c r="D300" s="386" t="s">
        <v>1313</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8"/>
        <v>190570</v>
      </c>
    </row>
    <row r="301" spans="1:27" s="366" customFormat="1" ht="15.75">
      <c r="A301" s="508"/>
      <c r="B301" s="544"/>
      <c r="C301" s="364"/>
      <c r="D301" s="386" t="s">
        <v>1314</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8"/>
        <v>145430.4</v>
      </c>
    </row>
    <row r="302" spans="1:27" s="366" customFormat="1" ht="15.75">
      <c r="A302" s="508"/>
      <c r="B302" s="544"/>
      <c r="C302" s="364"/>
      <c r="D302" s="386" t="s">
        <v>1315</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8"/>
        <v>242011.02</v>
      </c>
    </row>
    <row r="303" spans="1:27" s="366" customFormat="1" ht="15.75">
      <c r="A303" s="508"/>
      <c r="B303" s="544"/>
      <c r="C303" s="364"/>
      <c r="D303" s="386" t="s">
        <v>1316</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8"/>
        <v>20000</v>
      </c>
    </row>
    <row r="304" spans="1:27" s="366" customFormat="1" ht="15.75">
      <c r="A304" s="508"/>
      <c r="B304" s="544"/>
      <c r="C304" s="364"/>
      <c r="D304" s="386" t="s">
        <v>1317</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8"/>
        <v>44910.4</v>
      </c>
    </row>
    <row r="305" spans="1:27" s="362" customFormat="1" ht="31.5">
      <c r="A305" s="508"/>
      <c r="B305" s="544"/>
      <c r="C305" s="212"/>
      <c r="D305" s="359" t="s">
        <v>1318</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8"/>
        <v>0</v>
      </c>
    </row>
    <row r="306" spans="1:27" s="362" customFormat="1" ht="31.5">
      <c r="A306" s="508"/>
      <c r="B306" s="544"/>
      <c r="C306" s="212"/>
      <c r="D306" s="359" t="s">
        <v>1319</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8"/>
        <v>0</v>
      </c>
    </row>
    <row r="307" spans="1:27" s="362" customFormat="1" ht="15.75">
      <c r="A307" s="508"/>
      <c r="B307" s="544"/>
      <c r="C307" s="212"/>
      <c r="D307" s="13" t="s">
        <v>1279</v>
      </c>
      <c r="E307" s="142"/>
      <c r="F307" s="143"/>
      <c r="G307" s="142"/>
      <c r="H307" s="418"/>
      <c r="I307" s="392">
        <f>SUM(I308:I310)</f>
        <v>92000</v>
      </c>
      <c r="J307" s="392">
        <f aca="true" t="shared" si="32" ref="J307:Z307">SUM(J308:J310)</f>
        <v>0</v>
      </c>
      <c r="K307" s="392">
        <f t="shared" si="32"/>
        <v>0</v>
      </c>
      <c r="L307" s="392">
        <f t="shared" si="32"/>
        <v>0</v>
      </c>
      <c r="M307" s="392">
        <f t="shared" si="32"/>
        <v>92000</v>
      </c>
      <c r="N307" s="392">
        <f t="shared" si="32"/>
        <v>0</v>
      </c>
      <c r="O307" s="392">
        <f t="shared" si="32"/>
        <v>0</v>
      </c>
      <c r="P307" s="392">
        <f t="shared" si="32"/>
        <v>0</v>
      </c>
      <c r="Q307" s="392">
        <f t="shared" si="32"/>
        <v>0</v>
      </c>
      <c r="R307" s="392">
        <f t="shared" si="32"/>
        <v>2700</v>
      </c>
      <c r="S307" s="392">
        <f t="shared" si="32"/>
        <v>31200</v>
      </c>
      <c r="T307" s="392">
        <f t="shared" si="32"/>
        <v>0</v>
      </c>
      <c r="U307" s="392">
        <f t="shared" si="32"/>
        <v>58100</v>
      </c>
      <c r="V307" s="392">
        <f t="shared" si="32"/>
        <v>0</v>
      </c>
      <c r="W307" s="392">
        <f t="shared" si="32"/>
        <v>0</v>
      </c>
      <c r="X307" s="392">
        <f t="shared" si="32"/>
        <v>0</v>
      </c>
      <c r="Y307" s="392">
        <f t="shared" si="32"/>
        <v>0</v>
      </c>
      <c r="Z307" s="392">
        <f t="shared" si="32"/>
        <v>8291.32</v>
      </c>
      <c r="AA307" s="408">
        <f t="shared" si="28"/>
        <v>83708.68</v>
      </c>
    </row>
    <row r="308" spans="1:27" s="366" customFormat="1" ht="15.75">
      <c r="A308" s="508"/>
      <c r="B308" s="544"/>
      <c r="C308" s="364"/>
      <c r="D308" s="385" t="s">
        <v>1320</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8"/>
        <v>24799.67</v>
      </c>
    </row>
    <row r="309" spans="1:27" s="366" customFormat="1" ht="15.75">
      <c r="A309" s="508"/>
      <c r="B309" s="544"/>
      <c r="C309" s="364"/>
      <c r="D309" s="386" t="s">
        <v>1321</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8"/>
        <v>40922.29</v>
      </c>
    </row>
    <row r="310" spans="1:27" s="366" customFormat="1" ht="15.75">
      <c r="A310" s="508"/>
      <c r="B310" s="544"/>
      <c r="C310" s="364"/>
      <c r="D310" s="385" t="s">
        <v>1322</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8"/>
        <v>17986.72</v>
      </c>
    </row>
    <row r="311" spans="1:27" s="362" customFormat="1" ht="15.75" hidden="1">
      <c r="A311" s="508"/>
      <c r="B311" s="544"/>
      <c r="C311" s="212"/>
      <c r="D311" s="358" t="s">
        <v>134</v>
      </c>
      <c r="E311" s="142"/>
      <c r="F311" s="143"/>
      <c r="G311" s="142"/>
      <c r="H311" s="418">
        <v>3132</v>
      </c>
      <c r="I311" s="144">
        <f>15000-15000</f>
        <v>0</v>
      </c>
      <c r="J311" s="286"/>
      <c r="K311" s="144"/>
      <c r="L311" s="49"/>
      <c r="M311" s="49">
        <v>15000</v>
      </c>
      <c r="N311" s="408"/>
      <c r="O311" s="408"/>
      <c r="P311" s="408"/>
      <c r="Q311" s="408"/>
      <c r="R311" s="408">
        <f>3000</f>
        <v>3000</v>
      </c>
      <c r="S311" s="408">
        <f>7000</f>
        <v>7000</v>
      </c>
      <c r="T311" s="408"/>
      <c r="U311" s="408">
        <f>-10000</f>
        <v>-10000</v>
      </c>
      <c r="V311" s="408"/>
      <c r="W311" s="408"/>
      <c r="X311" s="408">
        <f>5000-5000</f>
        <v>0</v>
      </c>
      <c r="Y311" s="408"/>
      <c r="Z311" s="408"/>
      <c r="AA311" s="408">
        <f t="shared" si="28"/>
        <v>0</v>
      </c>
    </row>
    <row r="312" spans="1:27" s="362" customFormat="1" ht="18.75" customHeight="1">
      <c r="A312" s="508"/>
      <c r="B312" s="544"/>
      <c r="C312" s="212"/>
      <c r="D312" s="358" t="s">
        <v>1333</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8"/>
        <v>12000</v>
      </c>
    </row>
    <row r="313" spans="1:27" s="362" customFormat="1" ht="18.75" customHeight="1">
      <c r="A313" s="535" t="s">
        <v>1497</v>
      </c>
      <c r="B313" s="538" t="s">
        <v>1334</v>
      </c>
      <c r="C313" s="212"/>
      <c r="D313" s="368" t="s">
        <v>1597</v>
      </c>
      <c r="E313" s="137"/>
      <c r="F313" s="138"/>
      <c r="G313" s="137"/>
      <c r="H313" s="417"/>
      <c r="I313" s="396">
        <f>I314</f>
        <v>1000000</v>
      </c>
      <c r="J313" s="396">
        <f>J314</f>
        <v>0</v>
      </c>
      <c r="K313" s="396">
        <f>K314</f>
        <v>0</v>
      </c>
      <c r="L313" s="396">
        <f>L314</f>
        <v>0</v>
      </c>
      <c r="M313" s="396">
        <f>M314</f>
        <v>1000000</v>
      </c>
      <c r="N313" s="396">
        <f aca="true" t="shared" si="33" ref="N313:Z313">N314</f>
        <v>0</v>
      </c>
      <c r="O313" s="396">
        <f t="shared" si="33"/>
        <v>0</v>
      </c>
      <c r="P313" s="396">
        <f t="shared" si="33"/>
        <v>0</v>
      </c>
      <c r="Q313" s="396">
        <f t="shared" si="33"/>
        <v>0</v>
      </c>
      <c r="R313" s="396">
        <f t="shared" si="33"/>
        <v>0</v>
      </c>
      <c r="S313" s="396">
        <f t="shared" si="33"/>
        <v>0</v>
      </c>
      <c r="T313" s="396">
        <f t="shared" si="33"/>
        <v>0</v>
      </c>
      <c r="U313" s="396">
        <f t="shared" si="33"/>
        <v>0</v>
      </c>
      <c r="V313" s="396">
        <f t="shared" si="33"/>
        <v>0</v>
      </c>
      <c r="W313" s="396">
        <f t="shared" si="33"/>
        <v>0</v>
      </c>
      <c r="X313" s="396">
        <f t="shared" si="33"/>
        <v>1000000</v>
      </c>
      <c r="Y313" s="396">
        <f t="shared" si="33"/>
        <v>0</v>
      </c>
      <c r="Z313" s="396">
        <f t="shared" si="33"/>
        <v>0</v>
      </c>
      <c r="AA313" s="408">
        <f t="shared" si="28"/>
        <v>0</v>
      </c>
    </row>
    <row r="314" spans="1:27" s="362" customFormat="1" ht="31.5">
      <c r="A314" s="515"/>
      <c r="B314" s="516"/>
      <c r="C314" s="212"/>
      <c r="D314" s="358" t="s">
        <v>1335</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8"/>
        <v>0</v>
      </c>
    </row>
    <row r="315" spans="1:61" s="28" customFormat="1" ht="15.75">
      <c r="A315" s="535" t="s">
        <v>988</v>
      </c>
      <c r="B315" s="538" t="s">
        <v>489</v>
      </c>
      <c r="C315" s="215"/>
      <c r="D315" s="136" t="s">
        <v>1597</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4" ref="P315:Z315">SUM(P316:P317)</f>
        <v>0</v>
      </c>
      <c r="Q315" s="139">
        <f t="shared" si="34"/>
        <v>0</v>
      </c>
      <c r="R315" s="139">
        <f t="shared" si="34"/>
        <v>0</v>
      </c>
      <c r="S315" s="139">
        <f t="shared" si="34"/>
        <v>0</v>
      </c>
      <c r="T315" s="139">
        <f t="shared" si="34"/>
        <v>0</v>
      </c>
      <c r="U315" s="139">
        <f t="shared" si="34"/>
        <v>0</v>
      </c>
      <c r="V315" s="139">
        <f t="shared" si="34"/>
        <v>0</v>
      </c>
      <c r="W315" s="139">
        <f t="shared" si="34"/>
        <v>0</v>
      </c>
      <c r="X315" s="139">
        <f t="shared" si="34"/>
        <v>0</v>
      </c>
      <c r="Y315" s="139">
        <f t="shared" si="34"/>
        <v>0</v>
      </c>
      <c r="Z315" s="139">
        <f t="shared" si="34"/>
        <v>652</v>
      </c>
      <c r="AA315" s="408">
        <f t="shared" si="28"/>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490</v>
      </c>
      <c r="D316" s="141" t="s">
        <v>50</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8"/>
        <v>0</v>
      </c>
    </row>
    <row r="317" spans="1:27" s="45" customFormat="1" ht="71.25" customHeight="1">
      <c r="A317" s="536"/>
      <c r="B317" s="512"/>
      <c r="C317" s="212" t="s">
        <v>1256</v>
      </c>
      <c r="D317" s="141" t="s">
        <v>51</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8"/>
        <v>0</v>
      </c>
    </row>
    <row r="318" spans="1:27" s="45" customFormat="1" ht="31.5" hidden="1">
      <c r="A318" s="536"/>
      <c r="B318" s="512"/>
      <c r="C318" s="533"/>
      <c r="D318" s="141" t="s">
        <v>52</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8"/>
        <v>0</v>
      </c>
    </row>
    <row r="319" spans="1:27" s="45" customFormat="1" ht="31.5" hidden="1">
      <c r="A319" s="591"/>
      <c r="B319" s="591"/>
      <c r="C319" s="534"/>
      <c r="D319" s="198" t="s">
        <v>929</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8"/>
        <v>0</v>
      </c>
    </row>
    <row r="320" spans="1:61" s="28" customFormat="1" ht="15.75" hidden="1">
      <c r="A320" s="535" t="s">
        <v>989</v>
      </c>
      <c r="B320" s="538" t="s">
        <v>930</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8"/>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931</v>
      </c>
      <c r="D321" s="141" t="s">
        <v>932</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8"/>
        <v>0</v>
      </c>
    </row>
    <row r="322" spans="1:27" s="45" customFormat="1" ht="30" customHeight="1" hidden="1">
      <c r="A322" s="591"/>
      <c r="B322" s="591"/>
      <c r="C322" s="212" t="s">
        <v>933</v>
      </c>
      <c r="D322" s="141" t="s">
        <v>140</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8"/>
        <v>0</v>
      </c>
    </row>
    <row r="323" spans="1:61" s="28" customFormat="1" ht="15.75">
      <c r="A323" s="535" t="s">
        <v>990</v>
      </c>
      <c r="B323" s="538" t="s">
        <v>141</v>
      </c>
      <c r="C323" s="215"/>
      <c r="D323" s="136" t="s">
        <v>1597</v>
      </c>
      <c r="E323" s="137"/>
      <c r="F323" s="159"/>
      <c r="G323" s="137"/>
      <c r="H323" s="417"/>
      <c r="I323" s="139">
        <f>I324</f>
        <v>136000</v>
      </c>
      <c r="J323" s="139">
        <f>J324</f>
        <v>0</v>
      </c>
      <c r="K323" s="139">
        <f>K324</f>
        <v>0</v>
      </c>
      <c r="L323" s="139">
        <f>L324</f>
        <v>0</v>
      </c>
      <c r="M323" s="139">
        <f>M324</f>
        <v>136000</v>
      </c>
      <c r="N323" s="139">
        <f aca="true" t="shared" si="35" ref="N323:Z323">N324</f>
        <v>0</v>
      </c>
      <c r="O323" s="139">
        <f t="shared" si="35"/>
        <v>0</v>
      </c>
      <c r="P323" s="139">
        <f t="shared" si="35"/>
        <v>0</v>
      </c>
      <c r="Q323" s="139">
        <f t="shared" si="35"/>
        <v>0</v>
      </c>
      <c r="R323" s="139">
        <f t="shared" si="35"/>
        <v>0</v>
      </c>
      <c r="S323" s="139">
        <f t="shared" si="35"/>
        <v>0</v>
      </c>
      <c r="T323" s="139">
        <f t="shared" si="35"/>
        <v>0</v>
      </c>
      <c r="U323" s="139">
        <f t="shared" si="35"/>
        <v>136000</v>
      </c>
      <c r="V323" s="139">
        <f t="shared" si="35"/>
        <v>0</v>
      </c>
      <c r="W323" s="139">
        <f t="shared" si="35"/>
        <v>0</v>
      </c>
      <c r="X323" s="139">
        <f t="shared" si="35"/>
        <v>0</v>
      </c>
      <c r="Y323" s="139">
        <f t="shared" si="35"/>
        <v>0</v>
      </c>
      <c r="Z323" s="139">
        <f t="shared" si="35"/>
        <v>0</v>
      </c>
      <c r="AA323" s="408">
        <f t="shared" si="28"/>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778</v>
      </c>
      <c r="D324" s="141" t="s">
        <v>1336</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8"/>
        <v>136000</v>
      </c>
    </row>
    <row r="325" spans="1:27" s="45" customFormat="1" ht="15.75">
      <c r="A325" s="535" t="s">
        <v>991</v>
      </c>
      <c r="B325" s="538" t="s">
        <v>1093</v>
      </c>
      <c r="C325" s="212"/>
      <c r="D325" s="136" t="s">
        <v>1597</v>
      </c>
      <c r="E325" s="137"/>
      <c r="F325" s="159"/>
      <c r="G325" s="137"/>
      <c r="H325" s="417"/>
      <c r="I325" s="139">
        <f>I326</f>
        <v>109146.02</v>
      </c>
      <c r="J325" s="139">
        <f aca="true" t="shared" si="36" ref="J325:Z325">SUM(J326:J327)</f>
        <v>0</v>
      </c>
      <c r="K325" s="139">
        <f t="shared" si="36"/>
        <v>0</v>
      </c>
      <c r="L325" s="139">
        <f t="shared" si="36"/>
        <v>109146.02</v>
      </c>
      <c r="M325" s="139">
        <f t="shared" si="36"/>
        <v>0</v>
      </c>
      <c r="N325" s="139">
        <f t="shared" si="36"/>
        <v>0</v>
      </c>
      <c r="O325" s="139">
        <f t="shared" si="36"/>
        <v>109146.02</v>
      </c>
      <c r="P325" s="139">
        <f t="shared" si="36"/>
        <v>0</v>
      </c>
      <c r="Q325" s="139">
        <f t="shared" si="36"/>
        <v>0</v>
      </c>
      <c r="R325" s="139">
        <f t="shared" si="36"/>
        <v>0</v>
      </c>
      <c r="S325" s="139">
        <f t="shared" si="36"/>
        <v>0</v>
      </c>
      <c r="T325" s="139">
        <f t="shared" si="36"/>
        <v>0</v>
      </c>
      <c r="U325" s="139">
        <f t="shared" si="36"/>
        <v>0</v>
      </c>
      <c r="V325" s="139">
        <f t="shared" si="36"/>
        <v>0</v>
      </c>
      <c r="W325" s="139">
        <f t="shared" si="36"/>
        <v>0</v>
      </c>
      <c r="X325" s="139">
        <f t="shared" si="36"/>
        <v>0</v>
      </c>
      <c r="Y325" s="139">
        <f t="shared" si="36"/>
        <v>0</v>
      </c>
      <c r="Z325" s="139">
        <f t="shared" si="36"/>
        <v>109146.02</v>
      </c>
      <c r="AA325" s="408">
        <f t="shared" si="28"/>
        <v>0</v>
      </c>
    </row>
    <row r="326" spans="1:27" s="45" customFormat="1" ht="31.5" customHeight="1">
      <c r="A326" s="536"/>
      <c r="B326" s="512"/>
      <c r="C326" s="212" t="s">
        <v>557</v>
      </c>
      <c r="D326" s="141" t="s">
        <v>558</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8"/>
        <v>0</v>
      </c>
    </row>
    <row r="327" spans="1:27" s="45" customFormat="1" ht="31.5" customHeight="1" hidden="1">
      <c r="A327" s="515"/>
      <c r="B327" s="516"/>
      <c r="C327" s="212"/>
      <c r="D327" s="141" t="s">
        <v>1293</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8"/>
        <v>0</v>
      </c>
    </row>
    <row r="328" spans="1:27" s="30" customFormat="1" ht="15.75">
      <c r="A328" s="535" t="s">
        <v>1600</v>
      </c>
      <c r="B328" s="538" t="s">
        <v>697</v>
      </c>
      <c r="C328" s="135"/>
      <c r="D328" s="136" t="s">
        <v>1294</v>
      </c>
      <c r="E328" s="137"/>
      <c r="F328" s="159"/>
      <c r="G328" s="137"/>
      <c r="H328" s="417"/>
      <c r="I328" s="139">
        <f>SUM(I331:I332)</f>
        <v>470190.6</v>
      </c>
      <c r="J328" s="139">
        <f aca="true" t="shared" si="37" ref="J328:Z328">SUM(J329:J332)</f>
        <v>0</v>
      </c>
      <c r="K328" s="139">
        <f t="shared" si="37"/>
        <v>0</v>
      </c>
      <c r="L328" s="139">
        <f t="shared" si="37"/>
        <v>170190.6</v>
      </c>
      <c r="M328" s="139">
        <f t="shared" si="37"/>
        <v>300000</v>
      </c>
      <c r="N328" s="139">
        <f t="shared" si="37"/>
        <v>0</v>
      </c>
      <c r="O328" s="139">
        <f t="shared" si="37"/>
        <v>170190.6</v>
      </c>
      <c r="P328" s="139">
        <f t="shared" si="37"/>
        <v>0</v>
      </c>
      <c r="Q328" s="139">
        <f t="shared" si="37"/>
        <v>0</v>
      </c>
      <c r="R328" s="139">
        <f t="shared" si="37"/>
        <v>6000</v>
      </c>
      <c r="S328" s="139">
        <f t="shared" si="37"/>
        <v>98000</v>
      </c>
      <c r="T328" s="139">
        <f t="shared" si="37"/>
        <v>0</v>
      </c>
      <c r="U328" s="139">
        <f t="shared" si="37"/>
        <v>196000</v>
      </c>
      <c r="V328" s="139">
        <f t="shared" si="37"/>
        <v>0</v>
      </c>
      <c r="W328" s="139">
        <f t="shared" si="37"/>
        <v>0</v>
      </c>
      <c r="X328" s="139">
        <f t="shared" si="37"/>
        <v>0</v>
      </c>
      <c r="Y328" s="139">
        <f t="shared" si="37"/>
        <v>0</v>
      </c>
      <c r="Z328" s="139">
        <f t="shared" si="37"/>
        <v>177726.35</v>
      </c>
      <c r="AA328" s="408">
        <f t="shared" si="28"/>
        <v>292464.25</v>
      </c>
    </row>
    <row r="329" spans="1:27" s="45" customFormat="1" ht="31.5" hidden="1">
      <c r="A329" s="536"/>
      <c r="B329" s="512"/>
      <c r="C329" s="167" t="s">
        <v>1295</v>
      </c>
      <c r="D329" s="141" t="s">
        <v>1296</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8"/>
        <v>0</v>
      </c>
    </row>
    <row r="330" spans="1:27" s="45" customFormat="1" ht="31.5" hidden="1">
      <c r="A330" s="536"/>
      <c r="B330" s="512"/>
      <c r="C330" s="167" t="s">
        <v>778</v>
      </c>
      <c r="D330" s="141" t="s">
        <v>1385</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8"/>
        <v>0</v>
      </c>
    </row>
    <row r="331" spans="1:27" s="45" customFormat="1" ht="47.25">
      <c r="A331" s="536"/>
      <c r="B331" s="512"/>
      <c r="C331" s="167" t="s">
        <v>1386</v>
      </c>
      <c r="D331" s="141" t="s">
        <v>548</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8"/>
        <v>0</v>
      </c>
    </row>
    <row r="332" spans="1:27" s="45" customFormat="1" ht="31.5">
      <c r="A332" s="536"/>
      <c r="B332" s="512"/>
      <c r="C332" s="167" t="s">
        <v>388</v>
      </c>
      <c r="D332" s="141" t="s">
        <v>1337</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8"/>
        <v>292464.25</v>
      </c>
    </row>
    <row r="333" spans="1:27" s="30" customFormat="1" ht="15.75" customHeight="1">
      <c r="A333" s="157" t="s">
        <v>1551</v>
      </c>
      <c r="B333" s="166" t="s">
        <v>977</v>
      </c>
      <c r="C333" s="135"/>
      <c r="D333" s="196"/>
      <c r="E333" s="172"/>
      <c r="F333" s="143"/>
      <c r="G333" s="172"/>
      <c r="H333" s="421"/>
      <c r="I333" s="169">
        <f aca="true" t="shared" si="38" ref="I333:Z333">I342+I348+I334</f>
        <v>1396538.2</v>
      </c>
      <c r="J333" s="169">
        <f t="shared" si="38"/>
        <v>0</v>
      </c>
      <c r="K333" s="169">
        <f t="shared" si="38"/>
        <v>0</v>
      </c>
      <c r="L333" s="169">
        <f t="shared" si="38"/>
        <v>64920.24</v>
      </c>
      <c r="M333" s="169">
        <f t="shared" si="38"/>
        <v>1331617.96</v>
      </c>
      <c r="N333" s="169">
        <f t="shared" si="38"/>
        <v>0</v>
      </c>
      <c r="O333" s="169">
        <f t="shared" si="38"/>
        <v>64920.24</v>
      </c>
      <c r="P333" s="169">
        <f t="shared" si="38"/>
        <v>0</v>
      </c>
      <c r="Q333" s="169">
        <f t="shared" si="38"/>
        <v>0</v>
      </c>
      <c r="R333" s="169">
        <f t="shared" si="38"/>
        <v>45900</v>
      </c>
      <c r="S333" s="169">
        <f t="shared" si="38"/>
        <v>239100</v>
      </c>
      <c r="T333" s="169">
        <f t="shared" si="38"/>
        <v>320450</v>
      </c>
      <c r="U333" s="169">
        <f t="shared" si="38"/>
        <v>445500</v>
      </c>
      <c r="V333" s="169">
        <f t="shared" si="38"/>
        <v>134979.76</v>
      </c>
      <c r="W333" s="169">
        <f t="shared" si="38"/>
        <v>115688.2</v>
      </c>
      <c r="X333" s="169">
        <f t="shared" si="38"/>
        <v>30000</v>
      </c>
      <c r="Y333" s="169">
        <f t="shared" si="38"/>
        <v>0</v>
      </c>
      <c r="Z333" s="169">
        <f t="shared" si="38"/>
        <v>120679.37</v>
      </c>
      <c r="AA333" s="408">
        <f t="shared" si="28"/>
        <v>995190.87</v>
      </c>
    </row>
    <row r="334" spans="1:61" s="28" customFormat="1" ht="15.75">
      <c r="A334" s="535" t="s">
        <v>550</v>
      </c>
      <c r="B334" s="538" t="s">
        <v>551</v>
      </c>
      <c r="C334" s="135"/>
      <c r="D334" s="136" t="s">
        <v>1597</v>
      </c>
      <c r="E334" s="137"/>
      <c r="F334" s="159"/>
      <c r="G334" s="137"/>
      <c r="H334" s="417"/>
      <c r="I334" s="139">
        <f aca="true" t="shared" si="39" ref="I334:Z334">SUM(I335:I341)</f>
        <v>459950</v>
      </c>
      <c r="J334" s="139">
        <f t="shared" si="39"/>
        <v>0</v>
      </c>
      <c r="K334" s="139">
        <f t="shared" si="39"/>
        <v>0</v>
      </c>
      <c r="L334" s="139">
        <f t="shared" si="39"/>
        <v>0</v>
      </c>
      <c r="M334" s="139">
        <f t="shared" si="39"/>
        <v>459950</v>
      </c>
      <c r="N334" s="139">
        <f t="shared" si="39"/>
        <v>0</v>
      </c>
      <c r="O334" s="139">
        <f t="shared" si="39"/>
        <v>0</v>
      </c>
      <c r="P334" s="139">
        <f t="shared" si="39"/>
        <v>0</v>
      </c>
      <c r="Q334" s="139">
        <f t="shared" si="39"/>
        <v>0</v>
      </c>
      <c r="R334" s="139">
        <f t="shared" si="39"/>
        <v>34500</v>
      </c>
      <c r="S334" s="139">
        <f t="shared" si="39"/>
        <v>56000</v>
      </c>
      <c r="T334" s="139">
        <f t="shared" si="39"/>
        <v>259450</v>
      </c>
      <c r="U334" s="139">
        <f t="shared" si="39"/>
        <v>80000</v>
      </c>
      <c r="V334" s="139">
        <f t="shared" si="39"/>
        <v>0</v>
      </c>
      <c r="W334" s="139">
        <f t="shared" si="39"/>
        <v>0</v>
      </c>
      <c r="X334" s="139">
        <f t="shared" si="39"/>
        <v>30000</v>
      </c>
      <c r="Y334" s="139">
        <f t="shared" si="39"/>
        <v>0</v>
      </c>
      <c r="Z334" s="139">
        <f t="shared" si="39"/>
        <v>6924.53</v>
      </c>
      <c r="AA334" s="408">
        <f t="shared" si="28"/>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778</v>
      </c>
      <c r="D335" s="359" t="s">
        <v>934</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8"/>
        <v>151000</v>
      </c>
    </row>
    <row r="336" spans="1:27" s="369" customFormat="1" ht="31.5">
      <c r="A336" s="536"/>
      <c r="B336" s="512"/>
      <c r="C336" s="135"/>
      <c r="D336" s="359" t="s">
        <v>935</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8"/>
        <v>0</v>
      </c>
    </row>
    <row r="337" spans="1:27" s="369" customFormat="1" ht="31.5">
      <c r="A337" s="536"/>
      <c r="B337" s="512"/>
      <c r="C337" s="135"/>
      <c r="D337" s="358" t="s">
        <v>936</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8"/>
        <v>6713.85</v>
      </c>
    </row>
    <row r="338" spans="1:27" s="369" customFormat="1" ht="31.5">
      <c r="A338" s="536"/>
      <c r="B338" s="512"/>
      <c r="C338" s="135"/>
      <c r="D338" s="358" t="s">
        <v>565</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8"/>
        <v>56361.62</v>
      </c>
    </row>
    <row r="339" spans="1:27" s="369" customFormat="1" ht="15.75">
      <c r="A339" s="536"/>
      <c r="B339" s="512"/>
      <c r="C339" s="135"/>
      <c r="D339" s="359" t="s">
        <v>518</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8"/>
        <v>75000</v>
      </c>
    </row>
    <row r="340" spans="1:27" s="369" customFormat="1" ht="15.75">
      <c r="A340" s="536"/>
      <c r="B340" s="512"/>
      <c r="C340" s="135"/>
      <c r="D340" s="359" t="s">
        <v>519</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0" ref="AA340:AA403">N340+O340+P340+Q340+R340+S340+T340+U340-Z340</f>
        <v>84950</v>
      </c>
    </row>
    <row r="341" spans="1:27" s="369" customFormat="1" ht="31.5">
      <c r="A341" s="515"/>
      <c r="B341" s="516"/>
      <c r="C341" s="135" t="s">
        <v>1388</v>
      </c>
      <c r="D341" s="359" t="s">
        <v>568</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0"/>
        <v>49000</v>
      </c>
    </row>
    <row r="342" spans="1:27" s="30" customFormat="1" ht="15.75">
      <c r="A342" s="535" t="s">
        <v>129</v>
      </c>
      <c r="B342" s="538" t="s">
        <v>1552</v>
      </c>
      <c r="C342" s="167"/>
      <c r="D342" s="216" t="s">
        <v>1597</v>
      </c>
      <c r="E342" s="137"/>
      <c r="F342" s="159"/>
      <c r="G342" s="137"/>
      <c r="H342" s="417"/>
      <c r="I342" s="139">
        <f>I343</f>
        <v>30000</v>
      </c>
      <c r="J342" s="139">
        <f>SUM(J343:J347)</f>
        <v>0</v>
      </c>
      <c r="K342" s="139">
        <f>SUM(K343:K347)</f>
        <v>0</v>
      </c>
      <c r="L342" s="139">
        <f>SUM(L343:L347)</f>
        <v>0</v>
      </c>
      <c r="M342" s="139">
        <f>SUM(M343:M346)</f>
        <v>30000</v>
      </c>
      <c r="N342" s="139">
        <f aca="true" t="shared" si="41" ref="N342:Z342">SUM(N343:N346)</f>
        <v>0</v>
      </c>
      <c r="O342" s="139">
        <f t="shared" si="41"/>
        <v>0</v>
      </c>
      <c r="P342" s="139">
        <f t="shared" si="41"/>
        <v>0</v>
      </c>
      <c r="Q342" s="139">
        <f t="shared" si="41"/>
        <v>0</v>
      </c>
      <c r="R342" s="139">
        <f t="shared" si="41"/>
        <v>0</v>
      </c>
      <c r="S342" s="139">
        <f t="shared" si="41"/>
        <v>0</v>
      </c>
      <c r="T342" s="139">
        <f t="shared" si="41"/>
        <v>0</v>
      </c>
      <c r="U342" s="139">
        <f t="shared" si="41"/>
        <v>0</v>
      </c>
      <c r="V342" s="139">
        <f t="shared" si="41"/>
        <v>30000</v>
      </c>
      <c r="W342" s="139">
        <f t="shared" si="41"/>
        <v>0</v>
      </c>
      <c r="X342" s="139">
        <f t="shared" si="41"/>
        <v>0</v>
      </c>
      <c r="Y342" s="139">
        <f t="shared" si="41"/>
        <v>0</v>
      </c>
      <c r="Z342" s="139">
        <f t="shared" si="41"/>
        <v>0</v>
      </c>
      <c r="AA342" s="408">
        <f t="shared" si="40"/>
        <v>0</v>
      </c>
    </row>
    <row r="343" spans="1:27" s="30" customFormat="1" ht="31.5">
      <c r="A343" s="536"/>
      <c r="B343" s="512"/>
      <c r="C343" s="167" t="s">
        <v>1390</v>
      </c>
      <c r="D343" s="217" t="s">
        <v>569</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0"/>
        <v>0</v>
      </c>
    </row>
    <row r="344" spans="1:27" s="30" customFormat="1" ht="31.5" hidden="1">
      <c r="A344" s="536"/>
      <c r="B344" s="512"/>
      <c r="C344" s="167" t="s">
        <v>515</v>
      </c>
      <c r="D344" s="217" t="s">
        <v>150</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0"/>
        <v>0</v>
      </c>
    </row>
    <row r="345" spans="1:27" s="30" customFormat="1" ht="31.5" hidden="1">
      <c r="A345" s="536"/>
      <c r="B345" s="512"/>
      <c r="C345" s="167" t="s">
        <v>778</v>
      </c>
      <c r="D345" s="217" t="s">
        <v>151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0"/>
        <v>0</v>
      </c>
    </row>
    <row r="346" spans="1:27" s="30" customFormat="1" ht="31.5" hidden="1">
      <c r="A346" s="536"/>
      <c r="B346" s="512"/>
      <c r="C346" s="167" t="s">
        <v>152</v>
      </c>
      <c r="D346" s="217" t="s">
        <v>153</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0"/>
        <v>0</v>
      </c>
    </row>
    <row r="347" spans="1:27" s="30" customFormat="1" ht="15.75" hidden="1">
      <c r="A347" s="591"/>
      <c r="B347" s="591"/>
      <c r="C347" s="167"/>
      <c r="D347" s="217" t="s">
        <v>1013</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0"/>
        <v>0</v>
      </c>
    </row>
    <row r="348" spans="1:27" s="40" customFormat="1" ht="15.75" customHeight="1">
      <c r="A348" s="535" t="s">
        <v>1014</v>
      </c>
      <c r="B348" s="538" t="s">
        <v>1553</v>
      </c>
      <c r="C348" s="195"/>
      <c r="D348" s="136" t="s">
        <v>1597</v>
      </c>
      <c r="E348" s="158"/>
      <c r="F348" s="159"/>
      <c r="G348" s="158"/>
      <c r="H348" s="420"/>
      <c r="I348" s="139">
        <f>SUM(I351:I360)</f>
        <v>906588.2</v>
      </c>
      <c r="J348" s="139">
        <f aca="true" t="shared" si="42" ref="J348:Z348">SUM(J349:J360)</f>
        <v>0</v>
      </c>
      <c r="K348" s="139">
        <f t="shared" si="42"/>
        <v>0</v>
      </c>
      <c r="L348" s="139">
        <f t="shared" si="42"/>
        <v>64920.24</v>
      </c>
      <c r="M348" s="139">
        <f t="shared" si="42"/>
        <v>841667.96</v>
      </c>
      <c r="N348" s="139">
        <f t="shared" si="42"/>
        <v>0</v>
      </c>
      <c r="O348" s="139">
        <f t="shared" si="42"/>
        <v>64920.24</v>
      </c>
      <c r="P348" s="139">
        <f t="shared" si="42"/>
        <v>0</v>
      </c>
      <c r="Q348" s="139">
        <f t="shared" si="42"/>
        <v>0</v>
      </c>
      <c r="R348" s="139">
        <f t="shared" si="42"/>
        <v>11400</v>
      </c>
      <c r="S348" s="139">
        <f t="shared" si="42"/>
        <v>183100</v>
      </c>
      <c r="T348" s="139">
        <f t="shared" si="42"/>
        <v>61000</v>
      </c>
      <c r="U348" s="139">
        <f t="shared" si="42"/>
        <v>365500</v>
      </c>
      <c r="V348" s="139">
        <f t="shared" si="42"/>
        <v>104979.76</v>
      </c>
      <c r="W348" s="139">
        <f t="shared" si="42"/>
        <v>115688.2</v>
      </c>
      <c r="X348" s="139">
        <f t="shared" si="42"/>
        <v>0</v>
      </c>
      <c r="Y348" s="139">
        <f t="shared" si="42"/>
        <v>0</v>
      </c>
      <c r="Z348" s="139">
        <f t="shared" si="42"/>
        <v>113754.84</v>
      </c>
      <c r="AA348" s="408">
        <f t="shared" si="40"/>
        <v>572165.4</v>
      </c>
    </row>
    <row r="349" spans="1:27" s="40" customFormat="1" ht="15.75" customHeight="1" hidden="1">
      <c r="A349" s="536"/>
      <c r="B349" s="512"/>
      <c r="C349" s="167" t="s">
        <v>1409</v>
      </c>
      <c r="D349" s="217" t="s">
        <v>1410</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0"/>
        <v>0</v>
      </c>
    </row>
    <row r="350" spans="1:27" s="40" customFormat="1" ht="15.75" customHeight="1" hidden="1">
      <c r="A350" s="536"/>
      <c r="B350" s="512"/>
      <c r="C350" s="167" t="s">
        <v>388</v>
      </c>
      <c r="D350" s="217" t="s">
        <v>1411</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0"/>
        <v>0</v>
      </c>
    </row>
    <row r="351" spans="1:27" s="40" customFormat="1" ht="35.25" customHeight="1">
      <c r="A351" s="536"/>
      <c r="B351" s="512"/>
      <c r="C351" s="167" t="s">
        <v>1407</v>
      </c>
      <c r="D351" s="217" t="s">
        <v>1480</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0"/>
        <v>0</v>
      </c>
    </row>
    <row r="352" spans="1:27" s="40" customFormat="1" ht="31.5">
      <c r="A352" s="536"/>
      <c r="B352" s="512"/>
      <c r="C352" s="167" t="s">
        <v>1406</v>
      </c>
      <c r="D352" s="217" t="s">
        <v>1434</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0"/>
        <v>0</v>
      </c>
    </row>
    <row r="353" spans="1:27" s="362" customFormat="1" ht="31.5">
      <c r="A353" s="536"/>
      <c r="B353" s="512"/>
      <c r="C353" s="167" t="s">
        <v>1038</v>
      </c>
      <c r="D353" s="359" t="s">
        <v>1435</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0"/>
        <v>0</v>
      </c>
    </row>
    <row r="354" spans="1:27" s="362" customFormat="1" ht="47.25">
      <c r="A354" s="536"/>
      <c r="B354" s="512"/>
      <c r="C354" s="167" t="s">
        <v>1040</v>
      </c>
      <c r="D354" s="359" t="s">
        <v>1436</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0"/>
        <v>25000</v>
      </c>
    </row>
    <row r="355" spans="1:27" s="362" customFormat="1" ht="31.5">
      <c r="A355" s="536"/>
      <c r="B355" s="512"/>
      <c r="C355" s="167"/>
      <c r="D355" s="358" t="s">
        <v>179</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0"/>
        <v>0</v>
      </c>
    </row>
    <row r="356" spans="1:27" s="362" customFormat="1" ht="31.5">
      <c r="A356" s="536"/>
      <c r="B356" s="512"/>
      <c r="C356" s="167"/>
      <c r="D356" s="358" t="s">
        <v>1017</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0"/>
        <v>25000</v>
      </c>
    </row>
    <row r="357" spans="1:27" s="362" customFormat="1" ht="31.5">
      <c r="A357" s="536"/>
      <c r="B357" s="512"/>
      <c r="C357" s="167"/>
      <c r="D357" s="358" t="s">
        <v>180</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0"/>
        <v>60000</v>
      </c>
    </row>
    <row r="358" spans="1:27" s="362" customFormat="1" ht="31.5">
      <c r="A358" s="536"/>
      <c r="B358" s="512"/>
      <c r="C358" s="167"/>
      <c r="D358" s="358" t="s">
        <v>181</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0"/>
        <v>212165.4</v>
      </c>
    </row>
    <row r="359" spans="1:27" s="362" customFormat="1" ht="17.25" customHeight="1">
      <c r="A359" s="536"/>
      <c r="B359" s="512"/>
      <c r="C359" s="167"/>
      <c r="D359" s="358" t="s">
        <v>182</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0"/>
        <v>250000</v>
      </c>
    </row>
    <row r="360" spans="1:27" s="362" customFormat="1" ht="31.5">
      <c r="A360" s="439"/>
      <c r="B360" s="439"/>
      <c r="C360" s="167"/>
      <c r="D360" s="359" t="s">
        <v>1019</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0"/>
        <v>0</v>
      </c>
    </row>
    <row r="361" spans="1:61" s="28" customFormat="1" ht="17.25" customHeight="1">
      <c r="A361" s="535" t="s">
        <v>1020</v>
      </c>
      <c r="B361" s="538" t="s">
        <v>1088</v>
      </c>
      <c r="C361" s="195"/>
      <c r="D361" s="136" t="s">
        <v>1597</v>
      </c>
      <c r="E361" s="137"/>
      <c r="F361" s="159"/>
      <c r="G361" s="137"/>
      <c r="H361" s="417"/>
      <c r="I361" s="139">
        <f aca="true" t="shared" si="43" ref="I361:Z361">SUM(I362:I366)</f>
        <v>881300</v>
      </c>
      <c r="J361" s="139">
        <f t="shared" si="43"/>
        <v>0</v>
      </c>
      <c r="K361" s="139">
        <f t="shared" si="43"/>
        <v>0</v>
      </c>
      <c r="L361" s="139">
        <f t="shared" si="43"/>
        <v>17623.1</v>
      </c>
      <c r="M361" s="139">
        <f t="shared" si="43"/>
        <v>863676.9</v>
      </c>
      <c r="N361" s="139">
        <f t="shared" si="43"/>
        <v>0</v>
      </c>
      <c r="O361" s="139">
        <f t="shared" si="43"/>
        <v>17623.1</v>
      </c>
      <c r="P361" s="139">
        <f t="shared" si="43"/>
        <v>0</v>
      </c>
      <c r="Q361" s="139">
        <f t="shared" si="43"/>
        <v>0</v>
      </c>
      <c r="R361" s="139">
        <f t="shared" si="43"/>
        <v>128000</v>
      </c>
      <c r="S361" s="139">
        <f t="shared" si="43"/>
        <v>277000</v>
      </c>
      <c r="T361" s="139">
        <f t="shared" si="43"/>
        <v>91000</v>
      </c>
      <c r="U361" s="139">
        <f t="shared" si="43"/>
        <v>202000</v>
      </c>
      <c r="V361" s="139">
        <f t="shared" si="43"/>
        <v>70676.9</v>
      </c>
      <c r="W361" s="139">
        <f t="shared" si="43"/>
        <v>0</v>
      </c>
      <c r="X361" s="139">
        <f t="shared" si="43"/>
        <v>95000</v>
      </c>
      <c r="Y361" s="139">
        <f t="shared" si="43"/>
        <v>0</v>
      </c>
      <c r="Z361" s="139">
        <f t="shared" si="43"/>
        <v>302934.04</v>
      </c>
      <c r="AA361" s="408">
        <f t="shared" si="40"/>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392</v>
      </c>
      <c r="D362" s="141" t="s">
        <v>1021</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0"/>
        <v>0</v>
      </c>
    </row>
    <row r="363" spans="1:27" s="362" customFormat="1" ht="31.5">
      <c r="A363" s="536"/>
      <c r="B363" s="512"/>
      <c r="C363" s="135"/>
      <c r="D363" s="359" t="s">
        <v>183</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0"/>
        <v>220124.4</v>
      </c>
    </row>
    <row r="364" spans="1:27" s="362" customFormat="1" ht="31.5">
      <c r="A364" s="536"/>
      <c r="B364" s="512"/>
      <c r="C364" s="135"/>
      <c r="D364" s="358" t="s">
        <v>462</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0"/>
        <v>3000</v>
      </c>
    </row>
    <row r="365" spans="1:27" s="362" customFormat="1" ht="31.5">
      <c r="A365" s="536"/>
      <c r="B365" s="512"/>
      <c r="C365" s="135"/>
      <c r="D365" s="359" t="s">
        <v>35</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0"/>
        <v>142595.16</v>
      </c>
    </row>
    <row r="366" spans="1:27" s="369" customFormat="1" ht="15.75">
      <c r="A366" s="536"/>
      <c r="B366" s="512"/>
      <c r="C366" s="135" t="s">
        <v>1417</v>
      </c>
      <c r="D366" s="359" t="s">
        <v>36</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0"/>
        <v>46969.5</v>
      </c>
    </row>
    <row r="367" spans="1:61" s="28" customFormat="1" ht="15.75" customHeight="1">
      <c r="A367" s="538">
        <v>150101</v>
      </c>
      <c r="B367" s="538" t="s">
        <v>1091</v>
      </c>
      <c r="C367" s="195"/>
      <c r="D367" s="136" t="s">
        <v>1597</v>
      </c>
      <c r="E367" s="137"/>
      <c r="F367" s="159"/>
      <c r="G367" s="137"/>
      <c r="H367" s="417"/>
      <c r="I367" s="139">
        <f aca="true" t="shared" si="44" ref="I367:Z367">SUM(I368:I373)</f>
        <v>663795.14</v>
      </c>
      <c r="J367" s="139">
        <f t="shared" si="44"/>
        <v>0</v>
      </c>
      <c r="K367" s="139">
        <f t="shared" si="44"/>
        <v>0</v>
      </c>
      <c r="L367" s="139">
        <f t="shared" si="44"/>
        <v>89127.54</v>
      </c>
      <c r="M367" s="139">
        <f t="shared" si="44"/>
        <v>574667.6</v>
      </c>
      <c r="N367" s="139">
        <f t="shared" si="44"/>
        <v>0</v>
      </c>
      <c r="O367" s="139">
        <f t="shared" si="44"/>
        <v>89127.54</v>
      </c>
      <c r="P367" s="139">
        <f t="shared" si="44"/>
        <v>0</v>
      </c>
      <c r="Q367" s="139">
        <f t="shared" si="44"/>
        <v>0</v>
      </c>
      <c r="R367" s="139">
        <f t="shared" si="44"/>
        <v>6000</v>
      </c>
      <c r="S367" s="139">
        <f t="shared" si="44"/>
        <v>104000</v>
      </c>
      <c r="T367" s="139">
        <f t="shared" si="44"/>
        <v>37366</v>
      </c>
      <c r="U367" s="139">
        <f t="shared" si="44"/>
        <v>270000</v>
      </c>
      <c r="V367" s="139">
        <f t="shared" si="44"/>
        <v>0</v>
      </c>
      <c r="W367" s="139">
        <f t="shared" si="44"/>
        <v>0</v>
      </c>
      <c r="X367" s="139">
        <f t="shared" si="44"/>
        <v>157301.6</v>
      </c>
      <c r="Y367" s="139">
        <f t="shared" si="44"/>
        <v>0</v>
      </c>
      <c r="Z367" s="139">
        <f t="shared" si="44"/>
        <v>89127.54</v>
      </c>
      <c r="AA367" s="408">
        <f t="shared" si="40"/>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1419</v>
      </c>
      <c r="D368" s="217" t="s">
        <v>1420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0"/>
        <v>0</v>
      </c>
    </row>
    <row r="369" spans="1:27" s="45" customFormat="1" ht="15.75">
      <c r="A369" s="512"/>
      <c r="B369" s="512"/>
      <c r="C369" s="167" t="s">
        <v>1421</v>
      </c>
      <c r="D369" s="217" t="s">
        <v>1422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0"/>
        <v>0</v>
      </c>
    </row>
    <row r="370" spans="1:27" s="362" customFormat="1" ht="31.5">
      <c r="A370" s="512"/>
      <c r="B370" s="512"/>
      <c r="C370" s="167" t="s">
        <v>1423</v>
      </c>
      <c r="D370" s="367" t="s">
        <v>218</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0"/>
        <v>300000</v>
      </c>
    </row>
    <row r="371" spans="1:27" s="362" customFormat="1" ht="15.75">
      <c r="A371" s="512"/>
      <c r="B371" s="512"/>
      <c r="C371" s="167" t="s">
        <v>1425</v>
      </c>
      <c r="D371" s="359" t="s">
        <v>1381</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0"/>
        <v>50000</v>
      </c>
    </row>
    <row r="372" spans="1:27" s="362" customFormat="1" ht="31.5">
      <c r="A372" s="512"/>
      <c r="B372" s="512"/>
      <c r="C372" s="167"/>
      <c r="D372" s="359" t="s">
        <v>1382</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0"/>
        <v>30000</v>
      </c>
    </row>
    <row r="373" spans="1:27" s="362" customFormat="1" ht="15.75">
      <c r="A373" s="512"/>
      <c r="B373" s="512"/>
      <c r="C373" s="167"/>
      <c r="D373" s="370" t="s">
        <v>1383</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0"/>
        <v>37366</v>
      </c>
    </row>
    <row r="374" spans="1:61" s="28" customFormat="1" ht="15.75" customHeight="1">
      <c r="A374" s="538">
        <v>150110</v>
      </c>
      <c r="B374" s="535" t="s">
        <v>1096</v>
      </c>
      <c r="C374" s="195"/>
      <c r="D374" s="136" t="s">
        <v>1597</v>
      </c>
      <c r="E374" s="137"/>
      <c r="F374" s="159"/>
      <c r="G374" s="137"/>
      <c r="H374" s="417"/>
      <c r="I374" s="139">
        <f>I377+I380+I381+I400+I401+I402+I403+I404+I406+I405</f>
        <v>2086640.53</v>
      </c>
      <c r="J374" s="139">
        <f>SUM(J375:J381)+J404+J406+J403+J402+J401+J400</f>
        <v>0</v>
      </c>
      <c r="K374" s="139">
        <f>SUM(K375:K381)+K404+K406+K403+K402+K401+K400</f>
        <v>0</v>
      </c>
      <c r="L374" s="139">
        <f>SUM(L375:L381)+L404+L406+L403+L402+L401+L400</f>
        <v>233140.53</v>
      </c>
      <c r="M374" s="139">
        <f>SUM(M375:M381)+M404+M406+M403+M402+M401+M400</f>
        <v>1838500</v>
      </c>
      <c r="N374" s="139">
        <f>SUM(N375:N381)+N404+N406+N403+N402+N401+N400+N405</f>
        <v>0</v>
      </c>
      <c r="O374" s="139">
        <f aca="true" t="shared" si="45" ref="O374:Z374">SUM(O375:O381)+O404+O406+O403+O402+O401+O400+O405</f>
        <v>233140.53</v>
      </c>
      <c r="P374" s="139">
        <f t="shared" si="45"/>
        <v>0</v>
      </c>
      <c r="Q374" s="139">
        <f t="shared" si="45"/>
        <v>0</v>
      </c>
      <c r="R374" s="139">
        <f t="shared" si="45"/>
        <v>9000</v>
      </c>
      <c r="S374" s="139">
        <f t="shared" si="45"/>
        <v>254730</v>
      </c>
      <c r="T374" s="139">
        <f t="shared" si="45"/>
        <v>257370</v>
      </c>
      <c r="U374" s="139">
        <f t="shared" si="45"/>
        <v>96150</v>
      </c>
      <c r="V374" s="139">
        <f t="shared" si="45"/>
        <v>442300</v>
      </c>
      <c r="W374" s="139">
        <f t="shared" si="45"/>
        <v>200000</v>
      </c>
      <c r="X374" s="139">
        <f t="shared" si="45"/>
        <v>418950</v>
      </c>
      <c r="Y374" s="139">
        <f t="shared" si="45"/>
        <v>175000</v>
      </c>
      <c r="Z374" s="139">
        <f t="shared" si="45"/>
        <v>314754.97</v>
      </c>
      <c r="AA374" s="408">
        <f t="shared" si="40"/>
        <v>535635.56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38</v>
      </c>
      <c r="D375" s="141" t="s">
        <v>39</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0"/>
        <v>0</v>
      </c>
    </row>
    <row r="376" spans="1:27" ht="31.5" customHeight="1" hidden="1">
      <c r="A376" s="512"/>
      <c r="B376" s="536"/>
      <c r="C376" s="218" t="s">
        <v>1423</v>
      </c>
      <c r="D376" s="141" t="s">
        <v>40</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0"/>
        <v>0</v>
      </c>
    </row>
    <row r="377" spans="1:27" ht="63">
      <c r="A377" s="512"/>
      <c r="B377" s="536"/>
      <c r="C377" s="218" t="s">
        <v>41</v>
      </c>
      <c r="D377" s="141" t="s">
        <v>42</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0"/>
        <v>0</v>
      </c>
    </row>
    <row r="378" spans="1:27" ht="31.5" customHeight="1" hidden="1">
      <c r="A378" s="512"/>
      <c r="B378" s="536"/>
      <c r="C378" s="167" t="s">
        <v>43</v>
      </c>
      <c r="D378" s="217" t="s">
        <v>44</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0"/>
        <v>0</v>
      </c>
    </row>
    <row r="379" spans="1:27" ht="32.25" customHeight="1" hidden="1">
      <c r="A379" s="512"/>
      <c r="B379" s="536"/>
      <c r="C379" s="167" t="s">
        <v>45</v>
      </c>
      <c r="D379" s="208" t="s">
        <v>1299</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0"/>
        <v>0</v>
      </c>
    </row>
    <row r="380" spans="1:27" ht="31.5">
      <c r="A380" s="512"/>
      <c r="B380" s="536"/>
      <c r="C380" s="167" t="s">
        <v>45</v>
      </c>
      <c r="D380" s="208" t="s">
        <v>1300</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0"/>
        <v>0</v>
      </c>
    </row>
    <row r="381" spans="1:27" ht="15.75">
      <c r="A381" s="512"/>
      <c r="B381" s="536"/>
      <c r="C381" s="167"/>
      <c r="D381" s="1" t="s">
        <v>913</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0"/>
        <v>1038.6</v>
      </c>
    </row>
    <row r="382" spans="1:27" ht="15.75">
      <c r="A382" s="512"/>
      <c r="B382" s="536"/>
      <c r="C382" s="167"/>
      <c r="D382" s="57" t="s">
        <v>914</v>
      </c>
      <c r="E382" s="142">
        <v>110</v>
      </c>
      <c r="F382" s="143">
        <f aca="true" t="shared" si="46"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0"/>
        <v>0</v>
      </c>
    </row>
    <row r="383" spans="1:27" ht="31.5">
      <c r="A383" s="512"/>
      <c r="B383" s="536"/>
      <c r="C383" s="167"/>
      <c r="D383" s="221" t="s">
        <v>915</v>
      </c>
      <c r="E383" s="142">
        <v>110</v>
      </c>
      <c r="F383" s="143">
        <f t="shared" si="46"/>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0"/>
        <v>0</v>
      </c>
    </row>
    <row r="384" spans="1:27" ht="15.75" customHeight="1" hidden="1">
      <c r="A384" s="512"/>
      <c r="B384" s="536"/>
      <c r="C384" s="167"/>
      <c r="D384" s="221" t="s">
        <v>916</v>
      </c>
      <c r="E384" s="142"/>
      <c r="F384" s="143" t="e">
        <f t="shared" si="46"/>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0"/>
        <v>0</v>
      </c>
    </row>
    <row r="385" spans="1:27" ht="31.5">
      <c r="A385" s="512"/>
      <c r="B385" s="536"/>
      <c r="C385" s="167"/>
      <c r="D385" s="221" t="s">
        <v>809</v>
      </c>
      <c r="E385" s="142">
        <v>110</v>
      </c>
      <c r="F385" s="143">
        <f t="shared" si="46"/>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0"/>
        <v>0</v>
      </c>
    </row>
    <row r="386" spans="1:27" ht="31.5">
      <c r="A386" s="512"/>
      <c r="B386" s="536"/>
      <c r="C386" s="167"/>
      <c r="D386" s="221" t="s">
        <v>810</v>
      </c>
      <c r="E386" s="142">
        <v>110</v>
      </c>
      <c r="F386" s="143">
        <f t="shared" si="46"/>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0"/>
        <v>1038.6</v>
      </c>
    </row>
    <row r="387" spans="1:27" ht="31.5">
      <c r="A387" s="512"/>
      <c r="B387" s="536"/>
      <c r="C387" s="167"/>
      <c r="D387" s="221" t="s">
        <v>424</v>
      </c>
      <c r="E387" s="142">
        <v>110</v>
      </c>
      <c r="F387" s="143">
        <f t="shared" si="46"/>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0"/>
        <v>0</v>
      </c>
    </row>
    <row r="388" spans="1:27" ht="31.5">
      <c r="A388" s="512"/>
      <c r="B388" s="536"/>
      <c r="C388" s="167"/>
      <c r="D388" s="221" t="s">
        <v>425</v>
      </c>
      <c r="E388" s="142">
        <v>110</v>
      </c>
      <c r="F388" s="143">
        <f t="shared" si="46"/>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0"/>
        <v>0</v>
      </c>
    </row>
    <row r="389" spans="1:27" ht="31.5">
      <c r="A389" s="512"/>
      <c r="B389" s="536"/>
      <c r="C389" s="167"/>
      <c r="D389" s="221" t="s">
        <v>426</v>
      </c>
      <c r="E389" s="142">
        <v>110</v>
      </c>
      <c r="F389" s="143">
        <f t="shared" si="46"/>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0"/>
        <v>0</v>
      </c>
    </row>
    <row r="390" spans="1:27" ht="31.5">
      <c r="A390" s="512"/>
      <c r="B390" s="536"/>
      <c r="C390" s="167"/>
      <c r="D390" s="221" t="s">
        <v>858</v>
      </c>
      <c r="E390" s="142">
        <v>110</v>
      </c>
      <c r="F390" s="143">
        <f t="shared" si="46"/>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0"/>
        <v>0</v>
      </c>
    </row>
    <row r="391" spans="1:27" ht="15.75" customHeight="1" hidden="1">
      <c r="A391" s="512"/>
      <c r="B391" s="536"/>
      <c r="C391" s="167"/>
      <c r="D391" s="221" t="s">
        <v>859</v>
      </c>
      <c r="E391" s="142">
        <v>110</v>
      </c>
      <c r="F391" s="143">
        <f t="shared" si="46"/>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0"/>
        <v>0</v>
      </c>
    </row>
    <row r="392" spans="1:27" ht="18.75" customHeight="1">
      <c r="A392" s="512"/>
      <c r="B392" s="536"/>
      <c r="C392" s="167"/>
      <c r="D392" s="221" t="s">
        <v>89</v>
      </c>
      <c r="E392" s="142">
        <v>110</v>
      </c>
      <c r="F392" s="143">
        <f t="shared" si="46"/>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0"/>
        <v>0</v>
      </c>
    </row>
    <row r="393" spans="1:27" ht="31.5">
      <c r="A393" s="512"/>
      <c r="B393" s="536"/>
      <c r="C393" s="167"/>
      <c r="D393" s="221" t="s">
        <v>90</v>
      </c>
      <c r="E393" s="142">
        <v>110</v>
      </c>
      <c r="F393" s="143">
        <f t="shared" si="46"/>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0"/>
        <v>0</v>
      </c>
    </row>
    <row r="394" spans="1:27" ht="31.5">
      <c r="A394" s="512"/>
      <c r="B394" s="536"/>
      <c r="C394" s="167"/>
      <c r="D394" s="221" t="s">
        <v>85</v>
      </c>
      <c r="E394" s="142">
        <v>110</v>
      </c>
      <c r="F394" s="143">
        <f t="shared" si="46"/>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0"/>
        <v>0</v>
      </c>
    </row>
    <row r="395" spans="1:27" ht="31.5">
      <c r="A395" s="512"/>
      <c r="B395" s="536"/>
      <c r="C395" s="167"/>
      <c r="D395" s="221" t="s">
        <v>86</v>
      </c>
      <c r="E395" s="142">
        <v>110</v>
      </c>
      <c r="F395" s="143">
        <f t="shared" si="46"/>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0"/>
        <v>0</v>
      </c>
    </row>
    <row r="396" spans="1:27" ht="15.75">
      <c r="A396" s="512"/>
      <c r="B396" s="536"/>
      <c r="C396" s="167"/>
      <c r="D396" s="221" t="s">
        <v>853</v>
      </c>
      <c r="E396" s="142">
        <v>110</v>
      </c>
      <c r="F396" s="143">
        <f t="shared" si="46"/>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0"/>
        <v>0</v>
      </c>
    </row>
    <row r="397" spans="1:27" ht="31.5">
      <c r="A397" s="512"/>
      <c r="B397" s="536"/>
      <c r="C397" s="167"/>
      <c r="D397" s="221" t="s">
        <v>854</v>
      </c>
      <c r="E397" s="142">
        <v>110</v>
      </c>
      <c r="F397" s="143">
        <f t="shared" si="46"/>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0"/>
        <v>0</v>
      </c>
    </row>
    <row r="398" spans="1:27" ht="31.5">
      <c r="A398" s="512"/>
      <c r="B398" s="536"/>
      <c r="C398" s="167"/>
      <c r="D398" s="221" t="s">
        <v>855</v>
      </c>
      <c r="E398" s="142">
        <v>110</v>
      </c>
      <c r="F398" s="143">
        <f t="shared" si="46"/>
        <v>1</v>
      </c>
      <c r="G398" s="142">
        <v>110</v>
      </c>
      <c r="H398" s="418">
        <v>3142</v>
      </c>
      <c r="I398" s="201">
        <v>2358.6</v>
      </c>
      <c r="J398" s="144"/>
      <c r="K398" s="144"/>
      <c r="L398" s="51">
        <v>2358.6</v>
      </c>
      <c r="M398" s="144"/>
      <c r="N398" s="408"/>
      <c r="O398" s="201">
        <v>2358.6</v>
      </c>
      <c r="P398" s="408"/>
      <c r="Q398" s="408"/>
      <c r="R398" s="408"/>
      <c r="S398" s="408"/>
      <c r="T398" s="408"/>
      <c r="U398" s="408">
        <v>2423.4</v>
      </c>
      <c r="V398" s="408"/>
      <c r="W398" s="408"/>
      <c r="X398" s="408"/>
      <c r="Y398" s="408"/>
      <c r="Z398" s="201">
        <v>2358.6</v>
      </c>
      <c r="AA398" s="408">
        <f t="shared" si="40"/>
        <v>2423.4</v>
      </c>
    </row>
    <row r="399" spans="1:27" ht="31.5">
      <c r="A399" s="512"/>
      <c r="B399" s="536"/>
      <c r="C399" s="167"/>
      <c r="D399" s="221" t="s">
        <v>46</v>
      </c>
      <c r="E399" s="142">
        <v>130</v>
      </c>
      <c r="F399" s="143">
        <f t="shared" si="46"/>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0"/>
        <v>0</v>
      </c>
    </row>
    <row r="400" spans="1:27" s="362" customFormat="1" ht="31.5">
      <c r="A400" s="512"/>
      <c r="B400" s="536"/>
      <c r="C400" s="167"/>
      <c r="D400" s="367" t="s">
        <v>213</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0"/>
        <v>75000</v>
      </c>
    </row>
    <row r="401" spans="1:27" s="362" customFormat="1" ht="31.5">
      <c r="A401" s="512"/>
      <c r="B401" s="536"/>
      <c r="C401" s="167"/>
      <c r="D401" s="360" t="s">
        <v>1384</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0"/>
        <v>185700</v>
      </c>
    </row>
    <row r="402" spans="1:27" s="362" customFormat="1" ht="63">
      <c r="A402" s="512"/>
      <c r="B402" s="536"/>
      <c r="C402" s="167"/>
      <c r="D402" s="358" t="s">
        <v>908</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0"/>
        <v>43816.96</v>
      </c>
    </row>
    <row r="403" spans="1:27" s="362" customFormat="1" ht="31.5">
      <c r="A403" s="512"/>
      <c r="B403" s="536"/>
      <c r="C403" s="167"/>
      <c r="D403" s="360" t="s">
        <v>909</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0"/>
        <v>129150</v>
      </c>
    </row>
    <row r="404" spans="1:27" s="362" customFormat="1" ht="15.75">
      <c r="A404" s="512"/>
      <c r="B404" s="536"/>
      <c r="C404" s="167"/>
      <c r="D404" s="360" t="s">
        <v>47</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7" ref="AA404:AA468">N404+O404+P404+Q404+R404+S404+T404+U404-Z404</f>
        <v>90000</v>
      </c>
    </row>
    <row r="405" spans="1:27" s="362" customFormat="1" ht="15.75">
      <c r="A405" s="356"/>
      <c r="B405" s="357"/>
      <c r="C405" s="167"/>
      <c r="D405" s="360" t="s">
        <v>69</v>
      </c>
      <c r="E405" s="142"/>
      <c r="F405" s="143"/>
      <c r="G405" s="142"/>
      <c r="H405" s="418">
        <v>3142</v>
      </c>
      <c r="I405" s="144">
        <v>15000</v>
      </c>
      <c r="J405" s="144"/>
      <c r="K405" s="144"/>
      <c r="L405" s="49"/>
      <c r="M405" s="49"/>
      <c r="N405" s="408"/>
      <c r="O405" s="408"/>
      <c r="P405" s="408"/>
      <c r="Q405" s="408"/>
      <c r="R405" s="408"/>
      <c r="S405" s="408"/>
      <c r="T405" s="408"/>
      <c r="U405" s="408">
        <v>10000</v>
      </c>
      <c r="V405" s="408"/>
      <c r="W405" s="408"/>
      <c r="X405" s="408">
        <v>5000</v>
      </c>
      <c r="Y405" s="408"/>
      <c r="Z405" s="408"/>
      <c r="AA405" s="408">
        <f t="shared" si="47"/>
        <v>10000</v>
      </c>
    </row>
    <row r="406" spans="1:27" s="362" customFormat="1" ht="31.5">
      <c r="A406" s="439"/>
      <c r="B406" s="439"/>
      <c r="C406" s="167"/>
      <c r="D406" s="358" t="s">
        <v>910</v>
      </c>
      <c r="E406" s="142"/>
      <c r="F406" s="143"/>
      <c r="G406" s="142"/>
      <c r="H406" s="418">
        <v>3142</v>
      </c>
      <c r="I406" s="144">
        <v>200000</v>
      </c>
      <c r="J406" s="144"/>
      <c r="K406" s="144"/>
      <c r="L406" s="49"/>
      <c r="M406" s="49">
        <v>200000</v>
      </c>
      <c r="N406" s="408"/>
      <c r="O406" s="408"/>
      <c r="P406" s="408"/>
      <c r="Q406" s="408"/>
      <c r="R406" s="408"/>
      <c r="S406" s="408"/>
      <c r="T406" s="408">
        <v>60000</v>
      </c>
      <c r="U406" s="408"/>
      <c r="V406" s="408">
        <v>70000</v>
      </c>
      <c r="W406" s="408"/>
      <c r="X406" s="408"/>
      <c r="Y406" s="408">
        <v>70000</v>
      </c>
      <c r="Z406" s="408">
        <v>59070</v>
      </c>
      <c r="AA406" s="408">
        <f t="shared" si="47"/>
        <v>930</v>
      </c>
    </row>
    <row r="407" spans="1:27" s="30" customFormat="1" ht="20.25" customHeight="1">
      <c r="A407" s="538">
        <v>150112</v>
      </c>
      <c r="B407" s="535" t="s">
        <v>48</v>
      </c>
      <c r="C407" s="195"/>
      <c r="D407" s="136" t="s">
        <v>1597</v>
      </c>
      <c r="E407" s="137"/>
      <c r="F407" s="159"/>
      <c r="G407" s="137"/>
      <c r="H407" s="417"/>
      <c r="I407" s="139">
        <f aca="true" t="shared" si="48" ref="I407:Z407">SUM(I408:I411)</f>
        <v>99841.77</v>
      </c>
      <c r="J407" s="139">
        <f t="shared" si="48"/>
        <v>0</v>
      </c>
      <c r="K407" s="139">
        <f t="shared" si="48"/>
        <v>0</v>
      </c>
      <c r="L407" s="139">
        <f t="shared" si="48"/>
        <v>20841.77</v>
      </c>
      <c r="M407" s="139">
        <f t="shared" si="48"/>
        <v>79000</v>
      </c>
      <c r="N407" s="139">
        <f t="shared" si="48"/>
        <v>0</v>
      </c>
      <c r="O407" s="139">
        <f t="shared" si="48"/>
        <v>20841.77</v>
      </c>
      <c r="P407" s="139">
        <f t="shared" si="48"/>
        <v>0</v>
      </c>
      <c r="Q407" s="139">
        <f t="shared" si="48"/>
        <v>0</v>
      </c>
      <c r="R407" s="139">
        <f t="shared" si="48"/>
        <v>0</v>
      </c>
      <c r="S407" s="139">
        <f t="shared" si="48"/>
        <v>0</v>
      </c>
      <c r="T407" s="139">
        <f t="shared" si="48"/>
        <v>0</v>
      </c>
      <c r="U407" s="139">
        <f t="shared" si="48"/>
        <v>65000</v>
      </c>
      <c r="V407" s="139">
        <f t="shared" si="48"/>
        <v>0</v>
      </c>
      <c r="W407" s="139">
        <f t="shared" si="48"/>
        <v>0</v>
      </c>
      <c r="X407" s="139">
        <f t="shared" si="48"/>
        <v>14000</v>
      </c>
      <c r="Y407" s="139">
        <f t="shared" si="48"/>
        <v>0</v>
      </c>
      <c r="Z407" s="139">
        <f t="shared" si="48"/>
        <v>20841.77</v>
      </c>
      <c r="AA407" s="408">
        <f t="shared" si="47"/>
        <v>65000</v>
      </c>
    </row>
    <row r="408" spans="1:27" ht="47.25">
      <c r="A408" s="512"/>
      <c r="B408" s="536"/>
      <c r="C408" s="222" t="s">
        <v>49</v>
      </c>
      <c r="D408" s="141" t="s">
        <v>860</v>
      </c>
      <c r="E408" s="142">
        <v>324.49488</v>
      </c>
      <c r="F408" s="143">
        <f>100%-((E408-G408)/E408)</f>
        <v>1</v>
      </c>
      <c r="G408" s="142">
        <v>324.49488</v>
      </c>
      <c r="H408" s="418">
        <v>3142</v>
      </c>
      <c r="I408" s="144">
        <v>20841.77</v>
      </c>
      <c r="J408" s="144"/>
      <c r="K408" s="144"/>
      <c r="L408" s="144">
        <v>20841.77</v>
      </c>
      <c r="M408" s="144"/>
      <c r="N408" s="408"/>
      <c r="O408" s="144">
        <v>20841.77</v>
      </c>
      <c r="P408" s="408"/>
      <c r="Q408" s="408"/>
      <c r="R408" s="408"/>
      <c r="S408" s="408"/>
      <c r="T408" s="408"/>
      <c r="U408" s="408"/>
      <c r="V408" s="408"/>
      <c r="W408" s="408"/>
      <c r="X408" s="408"/>
      <c r="Y408" s="408"/>
      <c r="Z408" s="144">
        <v>20841.77</v>
      </c>
      <c r="AA408" s="408">
        <f t="shared" si="47"/>
        <v>0</v>
      </c>
    </row>
    <row r="409" spans="1:27" s="362" customFormat="1" ht="31.5">
      <c r="A409" s="512"/>
      <c r="B409" s="536"/>
      <c r="C409" s="135" t="s">
        <v>861</v>
      </c>
      <c r="D409" s="361" t="s">
        <v>499</v>
      </c>
      <c r="E409" s="142">
        <v>20</v>
      </c>
      <c r="F409" s="143">
        <f>100%-((E409-G409)/E409)</f>
        <v>1</v>
      </c>
      <c r="G409" s="142">
        <v>20</v>
      </c>
      <c r="H409" s="418">
        <v>3142</v>
      </c>
      <c r="I409" s="144">
        <v>26000</v>
      </c>
      <c r="J409" s="144"/>
      <c r="K409" s="144"/>
      <c r="L409" s="49"/>
      <c r="M409" s="49">
        <v>26000</v>
      </c>
      <c r="N409" s="408"/>
      <c r="O409" s="408"/>
      <c r="P409" s="408"/>
      <c r="Q409" s="408"/>
      <c r="R409" s="408"/>
      <c r="S409" s="408"/>
      <c r="T409" s="408"/>
      <c r="U409" s="408">
        <v>26000</v>
      </c>
      <c r="V409" s="408"/>
      <c r="W409" s="408"/>
      <c r="X409" s="408"/>
      <c r="Y409" s="408"/>
      <c r="Z409" s="408"/>
      <c r="AA409" s="408">
        <f t="shared" si="47"/>
        <v>26000</v>
      </c>
    </row>
    <row r="410" spans="1:27" s="362" customFormat="1" ht="31.5">
      <c r="A410" s="512"/>
      <c r="B410" s="536"/>
      <c r="C410" s="135" t="s">
        <v>863</v>
      </c>
      <c r="D410" s="361" t="s">
        <v>911</v>
      </c>
      <c r="E410" s="142">
        <v>30</v>
      </c>
      <c r="F410" s="143">
        <f>100%-((E410-G410)/E410)</f>
        <v>1</v>
      </c>
      <c r="G410" s="142">
        <v>30</v>
      </c>
      <c r="H410" s="418">
        <v>3142</v>
      </c>
      <c r="I410" s="144">
        <v>39000</v>
      </c>
      <c r="J410" s="144"/>
      <c r="K410" s="144"/>
      <c r="L410" s="49"/>
      <c r="M410" s="49">
        <v>39000</v>
      </c>
      <c r="N410" s="408"/>
      <c r="O410" s="408"/>
      <c r="P410" s="408"/>
      <c r="Q410" s="408"/>
      <c r="R410" s="408"/>
      <c r="S410" s="408"/>
      <c r="T410" s="408"/>
      <c r="U410" s="408">
        <v>39000</v>
      </c>
      <c r="V410" s="408"/>
      <c r="W410" s="408"/>
      <c r="X410" s="408"/>
      <c r="Y410" s="408"/>
      <c r="Z410" s="408"/>
      <c r="AA410" s="408">
        <f t="shared" si="47"/>
        <v>39000</v>
      </c>
    </row>
    <row r="411" spans="1:27" s="362" customFormat="1" ht="31.5">
      <c r="A411" s="512"/>
      <c r="B411" s="536"/>
      <c r="C411" s="135" t="s">
        <v>865</v>
      </c>
      <c r="D411" s="359" t="s">
        <v>912</v>
      </c>
      <c r="E411" s="142">
        <v>45</v>
      </c>
      <c r="F411" s="143">
        <f>100%-((E411-G411)/E411)</f>
        <v>1</v>
      </c>
      <c r="G411" s="142">
        <v>45</v>
      </c>
      <c r="H411" s="418">
        <v>3122</v>
      </c>
      <c r="I411" s="144">
        <v>14000</v>
      </c>
      <c r="J411" s="144"/>
      <c r="K411" s="144"/>
      <c r="L411" s="49"/>
      <c r="M411" s="49">
        <v>14000</v>
      </c>
      <c r="N411" s="408"/>
      <c r="O411" s="408"/>
      <c r="P411" s="408"/>
      <c r="Q411" s="408"/>
      <c r="R411" s="408"/>
      <c r="S411" s="408"/>
      <c r="T411" s="408"/>
      <c r="U411" s="408"/>
      <c r="V411" s="408"/>
      <c r="W411" s="408"/>
      <c r="X411" s="408">
        <v>14000</v>
      </c>
      <c r="Y411" s="408"/>
      <c r="Z411" s="408"/>
      <c r="AA411" s="408">
        <f t="shared" si="47"/>
        <v>0</v>
      </c>
    </row>
    <row r="412" spans="1:27" s="30" customFormat="1" ht="21.75" customHeight="1">
      <c r="A412" s="538">
        <v>180409</v>
      </c>
      <c r="B412" s="538" t="s">
        <v>1367</v>
      </c>
      <c r="C412" s="223"/>
      <c r="D412" s="224"/>
      <c r="E412" s="137"/>
      <c r="F412" s="159"/>
      <c r="G412" s="137"/>
      <c r="H412" s="417"/>
      <c r="I412" s="139">
        <f>I414+I423</f>
        <v>6354187.25</v>
      </c>
      <c r="J412" s="139">
        <f>J413+J414+J420+J423+J421</f>
        <v>0</v>
      </c>
      <c r="K412" s="139">
        <f>K413+K414+K420+K423+K421</f>
        <v>0</v>
      </c>
      <c r="L412" s="139">
        <f>L413+L414+L420+L423+L421</f>
        <v>0</v>
      </c>
      <c r="M412" s="139">
        <f>M413+M414+M420+M423+M421</f>
        <v>6354187.25</v>
      </c>
      <c r="N412" s="139">
        <f aca="true" t="shared" si="49" ref="N412:Z412">N413+N414+N420+N423+N421</f>
        <v>0</v>
      </c>
      <c r="O412" s="139">
        <f t="shared" si="49"/>
        <v>0</v>
      </c>
      <c r="P412" s="139">
        <f t="shared" si="49"/>
        <v>0</v>
      </c>
      <c r="Q412" s="139">
        <f t="shared" si="49"/>
        <v>0</v>
      </c>
      <c r="R412" s="139">
        <f t="shared" si="49"/>
        <v>3328199.72</v>
      </c>
      <c r="S412" s="139">
        <f t="shared" si="49"/>
        <v>864075.2</v>
      </c>
      <c r="T412" s="139">
        <f t="shared" si="49"/>
        <v>433732.33</v>
      </c>
      <c r="U412" s="139">
        <f t="shared" si="49"/>
        <v>606642</v>
      </c>
      <c r="V412" s="139">
        <f t="shared" si="49"/>
        <v>671538</v>
      </c>
      <c r="W412" s="139">
        <f t="shared" si="49"/>
        <v>0</v>
      </c>
      <c r="X412" s="139">
        <f t="shared" si="49"/>
        <v>450000</v>
      </c>
      <c r="Y412" s="139">
        <f t="shared" si="49"/>
        <v>0</v>
      </c>
      <c r="Z412" s="139">
        <f t="shared" si="49"/>
        <v>3139020.98</v>
      </c>
      <c r="AA412" s="408">
        <f t="shared" si="47"/>
        <v>2093628.27</v>
      </c>
    </row>
    <row r="413" spans="1:27" ht="47.25" hidden="1">
      <c r="A413" s="512"/>
      <c r="B413" s="512"/>
      <c r="C413" s="135" t="s">
        <v>500</v>
      </c>
      <c r="D413" s="225" t="s">
        <v>117</v>
      </c>
      <c r="E413" s="142"/>
      <c r="F413" s="143"/>
      <c r="G413" s="172"/>
      <c r="H413" s="421"/>
      <c r="I413" s="144" t="e">
        <f>J413+K413+L413+M413+#REF!+#REF!</f>
        <v>#REF!</v>
      </c>
      <c r="J413" s="169"/>
      <c r="K413" s="468"/>
      <c r="L413" s="169"/>
      <c r="M413" s="169"/>
      <c r="N413" s="408"/>
      <c r="O413" s="408"/>
      <c r="P413" s="408"/>
      <c r="Q413" s="408"/>
      <c r="R413" s="408"/>
      <c r="S413" s="408"/>
      <c r="T413" s="408"/>
      <c r="U413" s="408"/>
      <c r="V413" s="408"/>
      <c r="W413" s="408"/>
      <c r="X413" s="408"/>
      <c r="Y413" s="408"/>
      <c r="Z413" s="408"/>
      <c r="AA413" s="408">
        <f t="shared" si="47"/>
        <v>0</v>
      </c>
    </row>
    <row r="414" spans="1:27" s="30" customFormat="1" ht="15.75">
      <c r="A414" s="512"/>
      <c r="B414" s="512"/>
      <c r="C414" s="227"/>
      <c r="D414" s="228" t="s">
        <v>118</v>
      </c>
      <c r="E414" s="172"/>
      <c r="F414" s="229"/>
      <c r="G414" s="172"/>
      <c r="H414" s="421"/>
      <c r="I414" s="169">
        <f>SUM(I415:I419)</f>
        <v>521419.45</v>
      </c>
      <c r="J414" s="169">
        <f>SUM(J415:J419)</f>
        <v>0</v>
      </c>
      <c r="K414" s="169">
        <f>SUM(K415:K419)</f>
        <v>0</v>
      </c>
      <c r="L414" s="169">
        <f>SUM(L415:L419)</f>
        <v>0</v>
      </c>
      <c r="M414" s="169">
        <f>SUM(M415:M419)</f>
        <v>521419.45</v>
      </c>
      <c r="N414" s="169">
        <f aca="true" t="shared" si="50" ref="N414:Z414">SUM(N415:N419)</f>
        <v>0</v>
      </c>
      <c r="O414" s="169">
        <f t="shared" si="50"/>
        <v>0</v>
      </c>
      <c r="P414" s="169">
        <f t="shared" si="50"/>
        <v>0</v>
      </c>
      <c r="Q414" s="169">
        <f t="shared" si="50"/>
        <v>0</v>
      </c>
      <c r="R414" s="169">
        <f t="shared" si="50"/>
        <v>0</v>
      </c>
      <c r="S414" s="169">
        <f t="shared" si="50"/>
        <v>71419.45</v>
      </c>
      <c r="T414" s="169">
        <f t="shared" si="50"/>
        <v>0</v>
      </c>
      <c r="U414" s="169">
        <f t="shared" si="50"/>
        <v>0</v>
      </c>
      <c r="V414" s="169">
        <f t="shared" si="50"/>
        <v>300000</v>
      </c>
      <c r="W414" s="169">
        <f t="shared" si="50"/>
        <v>0</v>
      </c>
      <c r="X414" s="169">
        <f t="shared" si="50"/>
        <v>150000</v>
      </c>
      <c r="Y414" s="169">
        <f t="shared" si="50"/>
        <v>0</v>
      </c>
      <c r="Z414" s="169">
        <f t="shared" si="50"/>
        <v>71419.45</v>
      </c>
      <c r="AA414" s="408">
        <f t="shared" si="47"/>
        <v>0</v>
      </c>
    </row>
    <row r="415" spans="1:27" s="362" customFormat="1" ht="31.5">
      <c r="A415" s="512"/>
      <c r="B415" s="512"/>
      <c r="C415" s="167" t="s">
        <v>119</v>
      </c>
      <c r="D415" s="382" t="s">
        <v>62</v>
      </c>
      <c r="E415" s="172"/>
      <c r="F415" s="143"/>
      <c r="G415" s="172"/>
      <c r="H415" s="418">
        <v>3210</v>
      </c>
      <c r="I415" s="144">
        <v>300000</v>
      </c>
      <c r="J415" s="144"/>
      <c r="K415" s="144"/>
      <c r="L415" s="49"/>
      <c r="M415" s="49">
        <v>300000</v>
      </c>
      <c r="N415" s="408"/>
      <c r="O415" s="408"/>
      <c r="P415" s="408"/>
      <c r="Q415" s="408"/>
      <c r="R415" s="408"/>
      <c r="S415" s="408"/>
      <c r="T415" s="408"/>
      <c r="U415" s="408"/>
      <c r="V415" s="408">
        <v>300000</v>
      </c>
      <c r="W415" s="408"/>
      <c r="X415" s="408"/>
      <c r="Y415" s="408"/>
      <c r="Z415" s="408"/>
      <c r="AA415" s="408">
        <f t="shared" si="47"/>
        <v>0</v>
      </c>
    </row>
    <row r="416" spans="1:27" s="362" customFormat="1" ht="31.5">
      <c r="A416" s="512"/>
      <c r="B416" s="512"/>
      <c r="C416" s="167"/>
      <c r="D416" s="382" t="s">
        <v>1303</v>
      </c>
      <c r="E416" s="172"/>
      <c r="F416" s="143"/>
      <c r="G416" s="172"/>
      <c r="H416" s="418">
        <v>3210</v>
      </c>
      <c r="I416" s="144">
        <v>150000</v>
      </c>
      <c r="J416" s="144"/>
      <c r="K416" s="144"/>
      <c r="L416" s="49"/>
      <c r="M416" s="49">
        <v>150000</v>
      </c>
      <c r="N416" s="408"/>
      <c r="O416" s="408"/>
      <c r="P416" s="408"/>
      <c r="Q416" s="408"/>
      <c r="R416" s="408"/>
      <c r="S416" s="408"/>
      <c r="T416" s="408"/>
      <c r="U416" s="408"/>
      <c r="V416" s="408"/>
      <c r="W416" s="408"/>
      <c r="X416" s="408">
        <v>150000</v>
      </c>
      <c r="Y416" s="408"/>
      <c r="Z416" s="408"/>
      <c r="AA416" s="408">
        <f t="shared" si="47"/>
        <v>0</v>
      </c>
    </row>
    <row r="417" spans="1:27" s="362" customFormat="1" ht="15.75">
      <c r="A417" s="512"/>
      <c r="B417" s="512"/>
      <c r="C417" s="167"/>
      <c r="D417" s="384" t="s">
        <v>1304</v>
      </c>
      <c r="E417" s="172"/>
      <c r="F417" s="143"/>
      <c r="G417" s="172"/>
      <c r="H417" s="418">
        <v>3210</v>
      </c>
      <c r="I417" s="144">
        <v>14625</v>
      </c>
      <c r="J417" s="144"/>
      <c r="K417" s="144"/>
      <c r="L417" s="49"/>
      <c r="M417" s="49">
        <v>14625</v>
      </c>
      <c r="N417" s="408"/>
      <c r="O417" s="408"/>
      <c r="P417" s="408"/>
      <c r="Q417" s="408"/>
      <c r="R417" s="408"/>
      <c r="S417" s="408">
        <v>14625</v>
      </c>
      <c r="T417" s="408"/>
      <c r="U417" s="408"/>
      <c r="V417" s="408"/>
      <c r="W417" s="408"/>
      <c r="X417" s="408"/>
      <c r="Y417" s="408"/>
      <c r="Z417" s="408">
        <v>14625</v>
      </c>
      <c r="AA417" s="408">
        <f t="shared" si="47"/>
        <v>0</v>
      </c>
    </row>
    <row r="418" spans="1:27" s="362" customFormat="1" ht="15.75">
      <c r="A418" s="512"/>
      <c r="B418" s="512"/>
      <c r="C418" s="167"/>
      <c r="D418" s="384" t="s">
        <v>1305</v>
      </c>
      <c r="E418" s="172"/>
      <c r="F418" s="143"/>
      <c r="G418" s="172"/>
      <c r="H418" s="418">
        <v>3210</v>
      </c>
      <c r="I418" s="144">
        <v>38585.76</v>
      </c>
      <c r="J418" s="144"/>
      <c r="K418" s="144"/>
      <c r="L418" s="49"/>
      <c r="M418" s="49">
        <v>38585.76</v>
      </c>
      <c r="N418" s="408"/>
      <c r="O418" s="408"/>
      <c r="P418" s="408"/>
      <c r="Q418" s="408"/>
      <c r="R418" s="408"/>
      <c r="S418" s="49">
        <v>38585.76</v>
      </c>
      <c r="T418" s="408"/>
      <c r="U418" s="408"/>
      <c r="V418" s="408"/>
      <c r="W418" s="408"/>
      <c r="X418" s="408"/>
      <c r="Y418" s="408"/>
      <c r="Z418" s="408">
        <v>38585.76</v>
      </c>
      <c r="AA418" s="408">
        <f t="shared" si="47"/>
        <v>0</v>
      </c>
    </row>
    <row r="419" spans="1:27" s="362" customFormat="1" ht="31.5">
      <c r="A419" s="512"/>
      <c r="B419" s="512"/>
      <c r="C419" s="167"/>
      <c r="D419" s="384" t="s">
        <v>1306</v>
      </c>
      <c r="E419" s="172"/>
      <c r="F419" s="143"/>
      <c r="G419" s="172"/>
      <c r="H419" s="418">
        <v>3210</v>
      </c>
      <c r="I419" s="144">
        <v>18208.69</v>
      </c>
      <c r="J419" s="144"/>
      <c r="K419" s="144"/>
      <c r="L419" s="49"/>
      <c r="M419" s="49">
        <v>18208.69</v>
      </c>
      <c r="N419" s="408"/>
      <c r="O419" s="408"/>
      <c r="P419" s="408"/>
      <c r="Q419" s="408"/>
      <c r="R419" s="408"/>
      <c r="S419" s="49">
        <v>18208.69</v>
      </c>
      <c r="T419" s="408"/>
      <c r="U419" s="408"/>
      <c r="V419" s="408"/>
      <c r="W419" s="408"/>
      <c r="X419" s="408"/>
      <c r="Y419" s="408"/>
      <c r="Z419" s="408">
        <v>18208.69</v>
      </c>
      <c r="AA419" s="408">
        <f t="shared" si="47"/>
        <v>0</v>
      </c>
    </row>
    <row r="420" spans="1:27" ht="47.25" hidden="1">
      <c r="A420" s="512"/>
      <c r="B420" s="512"/>
      <c r="C420" s="167" t="s">
        <v>511</v>
      </c>
      <c r="D420" s="228" t="s">
        <v>512</v>
      </c>
      <c r="E420" s="172"/>
      <c r="F420" s="143"/>
      <c r="G420" s="172"/>
      <c r="H420" s="418">
        <v>3210</v>
      </c>
      <c r="I420" s="169" t="e">
        <f>J420+K420+L420+M420+#REF!+#REF!</f>
        <v>#REF!</v>
      </c>
      <c r="J420" s="169"/>
      <c r="K420" s="169"/>
      <c r="L420" s="169"/>
      <c r="M420" s="169"/>
      <c r="N420" s="408"/>
      <c r="O420" s="408"/>
      <c r="P420" s="408"/>
      <c r="Q420" s="408"/>
      <c r="R420" s="408"/>
      <c r="S420" s="408"/>
      <c r="T420" s="408"/>
      <c r="U420" s="408"/>
      <c r="V420" s="408"/>
      <c r="W420" s="408"/>
      <c r="X420" s="408"/>
      <c r="Y420" s="408"/>
      <c r="Z420" s="408"/>
      <c r="AA420" s="408">
        <f t="shared" si="47"/>
        <v>0</v>
      </c>
    </row>
    <row r="421" spans="1:27" ht="15.75" hidden="1">
      <c r="A421" s="512"/>
      <c r="B421" s="512"/>
      <c r="C421" s="197"/>
      <c r="D421" s="228" t="s">
        <v>513</v>
      </c>
      <c r="E421" s="172"/>
      <c r="F421" s="143"/>
      <c r="G421" s="172"/>
      <c r="H421" s="418">
        <v>3210</v>
      </c>
      <c r="I421" s="169" t="e">
        <f>J421+K421+L421+M421+#REF!+#REF!</f>
        <v>#REF!</v>
      </c>
      <c r="J421" s="169">
        <f>J422</f>
        <v>0</v>
      </c>
      <c r="K421" s="169">
        <f>K422</f>
        <v>0</v>
      </c>
      <c r="L421" s="169">
        <f>L422</f>
        <v>0</v>
      </c>
      <c r="M421" s="169">
        <f>M422</f>
        <v>0</v>
      </c>
      <c r="N421" s="408"/>
      <c r="O421" s="408"/>
      <c r="P421" s="408"/>
      <c r="Q421" s="408"/>
      <c r="R421" s="408"/>
      <c r="S421" s="408"/>
      <c r="T421" s="408"/>
      <c r="U421" s="408"/>
      <c r="V421" s="408"/>
      <c r="W421" s="408"/>
      <c r="X421" s="408"/>
      <c r="Y421" s="408"/>
      <c r="Z421" s="408"/>
      <c r="AA421" s="408">
        <f t="shared" si="47"/>
        <v>0</v>
      </c>
    </row>
    <row r="422" spans="1:27" s="40" customFormat="1" ht="34.5" customHeight="1" hidden="1">
      <c r="A422" s="512"/>
      <c r="B422" s="512"/>
      <c r="C422" s="197"/>
      <c r="D422" s="208" t="s">
        <v>1297</v>
      </c>
      <c r="E422" s="142"/>
      <c r="F422" s="143"/>
      <c r="G422" s="142"/>
      <c r="H422" s="418">
        <v>3210</v>
      </c>
      <c r="I422" s="169" t="e">
        <f>J422+K422+L422+M422+#REF!+#REF!</f>
        <v>#REF!</v>
      </c>
      <c r="J422" s="144"/>
      <c r="K422" s="144"/>
      <c r="L422" s="144"/>
      <c r="M422" s="144"/>
      <c r="N422" s="408"/>
      <c r="O422" s="408"/>
      <c r="P422" s="408"/>
      <c r="Q422" s="408"/>
      <c r="R422" s="408"/>
      <c r="S422" s="408"/>
      <c r="T422" s="408"/>
      <c r="U422" s="408"/>
      <c r="V422" s="408"/>
      <c r="W422" s="408"/>
      <c r="X422" s="408"/>
      <c r="Y422" s="408"/>
      <c r="Z422" s="408"/>
      <c r="AA422" s="408">
        <f t="shared" si="47"/>
        <v>0</v>
      </c>
    </row>
    <row r="423" spans="1:27" s="30" customFormat="1" ht="15.75">
      <c r="A423" s="512"/>
      <c r="B423" s="512"/>
      <c r="C423" s="501" t="s">
        <v>1298</v>
      </c>
      <c r="D423" s="225" t="s">
        <v>532</v>
      </c>
      <c r="E423" s="407"/>
      <c r="F423" s="407"/>
      <c r="G423" s="407"/>
      <c r="H423" s="418"/>
      <c r="I423" s="169">
        <f>SUM(I424:I433)</f>
        <v>5832767.8</v>
      </c>
      <c r="J423" s="169">
        <f>SUM(J424:J433)</f>
        <v>0</v>
      </c>
      <c r="K423" s="169">
        <f>SUM(K424:K433)</f>
        <v>0</v>
      </c>
      <c r="L423" s="169">
        <f>SUM(L424:L433)</f>
        <v>0</v>
      </c>
      <c r="M423" s="169">
        <f>SUM(M424:M433)</f>
        <v>5832767.8</v>
      </c>
      <c r="N423" s="169">
        <f aca="true" t="shared" si="51" ref="N423:Z423">SUM(N424:N433)</f>
        <v>0</v>
      </c>
      <c r="O423" s="169">
        <f t="shared" si="51"/>
        <v>0</v>
      </c>
      <c r="P423" s="169">
        <f t="shared" si="51"/>
        <v>0</v>
      </c>
      <c r="Q423" s="169">
        <f t="shared" si="51"/>
        <v>0</v>
      </c>
      <c r="R423" s="169">
        <f t="shared" si="51"/>
        <v>3328199.72</v>
      </c>
      <c r="S423" s="169">
        <f t="shared" si="51"/>
        <v>792655.75</v>
      </c>
      <c r="T423" s="169">
        <f t="shared" si="51"/>
        <v>433732.33</v>
      </c>
      <c r="U423" s="169">
        <f t="shared" si="51"/>
        <v>606642</v>
      </c>
      <c r="V423" s="169">
        <f t="shared" si="51"/>
        <v>371538</v>
      </c>
      <c r="W423" s="169">
        <f t="shared" si="51"/>
        <v>0</v>
      </c>
      <c r="X423" s="169">
        <f t="shared" si="51"/>
        <v>300000</v>
      </c>
      <c r="Y423" s="169">
        <f t="shared" si="51"/>
        <v>0</v>
      </c>
      <c r="Z423" s="169">
        <f t="shared" si="51"/>
        <v>3067601.53</v>
      </c>
      <c r="AA423" s="408">
        <f t="shared" si="47"/>
        <v>2093628.27</v>
      </c>
    </row>
    <row r="424" spans="1:27" s="369" customFormat="1" ht="31.5">
      <c r="A424" s="512"/>
      <c r="B424" s="512"/>
      <c r="C424" s="502"/>
      <c r="D424" s="382" t="s">
        <v>114</v>
      </c>
      <c r="E424" s="407"/>
      <c r="F424" s="407"/>
      <c r="G424" s="407"/>
      <c r="H424" s="418">
        <v>3210</v>
      </c>
      <c r="I424" s="144">
        <v>959340</v>
      </c>
      <c r="J424" s="169"/>
      <c r="K424" s="169"/>
      <c r="L424" s="49"/>
      <c r="M424" s="49">
        <v>959340</v>
      </c>
      <c r="N424" s="440"/>
      <c r="O424" s="440"/>
      <c r="P424" s="440"/>
      <c r="Q424" s="440"/>
      <c r="R424" s="408"/>
      <c r="S424" s="408"/>
      <c r="T424" s="408"/>
      <c r="U424" s="408">
        <v>287802</v>
      </c>
      <c r="V424" s="408">
        <v>371538</v>
      </c>
      <c r="W424" s="408"/>
      <c r="X424" s="408">
        <v>300000</v>
      </c>
      <c r="Y424" s="440"/>
      <c r="Z424" s="440"/>
      <c r="AA424" s="408">
        <f t="shared" si="47"/>
        <v>287802</v>
      </c>
    </row>
    <row r="425" spans="1:27" s="369" customFormat="1" ht="47.25">
      <c r="A425" s="512"/>
      <c r="B425" s="512"/>
      <c r="C425" s="502"/>
      <c r="D425" s="382" t="s">
        <v>1456</v>
      </c>
      <c r="E425" s="407"/>
      <c r="F425" s="407"/>
      <c r="G425" s="407"/>
      <c r="H425" s="418">
        <v>3210</v>
      </c>
      <c r="I425" s="144">
        <v>70000</v>
      </c>
      <c r="J425" s="169"/>
      <c r="K425" s="169"/>
      <c r="L425" s="49"/>
      <c r="M425" s="49">
        <v>70000</v>
      </c>
      <c r="N425" s="440"/>
      <c r="O425" s="440"/>
      <c r="P425" s="440"/>
      <c r="Q425" s="440"/>
      <c r="R425" s="408">
        <v>6000</v>
      </c>
      <c r="S425" s="408">
        <v>64000</v>
      </c>
      <c r="T425" s="408"/>
      <c r="U425" s="408"/>
      <c r="V425" s="408"/>
      <c r="W425" s="408"/>
      <c r="X425" s="408"/>
      <c r="Y425" s="440"/>
      <c r="Z425" s="408">
        <f>5958.32-4676.27</f>
        <v>1282.05</v>
      </c>
      <c r="AA425" s="408">
        <f t="shared" si="47"/>
        <v>68717.95</v>
      </c>
    </row>
    <row r="426" spans="1:27" s="369" customFormat="1" ht="47.25">
      <c r="A426" s="512"/>
      <c r="B426" s="512"/>
      <c r="C426" s="502"/>
      <c r="D426" s="382" t="s">
        <v>560</v>
      </c>
      <c r="E426" s="407"/>
      <c r="F426" s="407"/>
      <c r="G426" s="407"/>
      <c r="H426" s="418">
        <v>3210</v>
      </c>
      <c r="I426" s="144">
        <v>828760</v>
      </c>
      <c r="J426" s="169"/>
      <c r="K426" s="169"/>
      <c r="L426" s="49"/>
      <c r="M426" s="49">
        <v>828760</v>
      </c>
      <c r="N426" s="440"/>
      <c r="O426" s="440"/>
      <c r="P426" s="440"/>
      <c r="Q426" s="440"/>
      <c r="R426" s="408">
        <v>250000</v>
      </c>
      <c r="S426" s="408">
        <v>578760</v>
      </c>
      <c r="T426" s="408"/>
      <c r="U426" s="408"/>
      <c r="V426" s="408"/>
      <c r="W426" s="408"/>
      <c r="X426" s="408"/>
      <c r="Y426" s="440"/>
      <c r="Z426" s="408">
        <v>8760</v>
      </c>
      <c r="AA426" s="408">
        <f t="shared" si="47"/>
        <v>820000</v>
      </c>
    </row>
    <row r="427" spans="1:27" s="369" customFormat="1" ht="47.25">
      <c r="A427" s="512"/>
      <c r="B427" s="512"/>
      <c r="C427" s="502"/>
      <c r="D427" s="382" t="s">
        <v>561</v>
      </c>
      <c r="E427" s="407"/>
      <c r="F427" s="407"/>
      <c r="G427" s="407"/>
      <c r="H427" s="418">
        <v>3210</v>
      </c>
      <c r="I427" s="144">
        <v>550532.33</v>
      </c>
      <c r="J427" s="169"/>
      <c r="K427" s="169"/>
      <c r="L427" s="49"/>
      <c r="M427" s="49">
        <v>550532.33</v>
      </c>
      <c r="N427" s="440"/>
      <c r="O427" s="440"/>
      <c r="P427" s="440"/>
      <c r="Q427" s="440"/>
      <c r="R427" s="408">
        <v>165160</v>
      </c>
      <c r="S427" s="408"/>
      <c r="T427" s="408">
        <v>385372.33</v>
      </c>
      <c r="U427" s="408"/>
      <c r="V427" s="408"/>
      <c r="W427" s="408"/>
      <c r="X427" s="408"/>
      <c r="Y427" s="440"/>
      <c r="Z427" s="408">
        <v>155377.8</v>
      </c>
      <c r="AA427" s="408">
        <f t="shared" si="47"/>
        <v>395154.53</v>
      </c>
    </row>
    <row r="428" spans="1:27" s="369" customFormat="1" ht="31.5">
      <c r="A428" s="512"/>
      <c r="B428" s="512"/>
      <c r="C428" s="502"/>
      <c r="D428" s="383" t="s">
        <v>562</v>
      </c>
      <c r="E428" s="407"/>
      <c r="F428" s="407"/>
      <c r="G428" s="407"/>
      <c r="H428" s="418">
        <v>3210</v>
      </c>
      <c r="I428" s="144">
        <v>1368.75</v>
      </c>
      <c r="J428" s="169"/>
      <c r="K428" s="169"/>
      <c r="L428" s="49"/>
      <c r="M428" s="49">
        <v>1368.75</v>
      </c>
      <c r="N428" s="440"/>
      <c r="O428" s="440"/>
      <c r="P428" s="440"/>
      <c r="Q428" s="440"/>
      <c r="R428" s="408"/>
      <c r="S428" s="49">
        <v>1368.75</v>
      </c>
      <c r="T428" s="408"/>
      <c r="U428" s="408"/>
      <c r="V428" s="408"/>
      <c r="W428" s="408"/>
      <c r="X428" s="408"/>
      <c r="Y428" s="440"/>
      <c r="Z428" s="408"/>
      <c r="AA428" s="408">
        <f t="shared" si="47"/>
        <v>1368.75</v>
      </c>
    </row>
    <row r="429" spans="1:27" s="369" customFormat="1" ht="31.5">
      <c r="A429" s="512"/>
      <c r="B429" s="512"/>
      <c r="C429" s="502"/>
      <c r="D429" s="383" t="s">
        <v>1006</v>
      </c>
      <c r="E429" s="407"/>
      <c r="F429" s="407"/>
      <c r="G429" s="407"/>
      <c r="H429" s="418">
        <v>3210</v>
      </c>
      <c r="I429" s="144">
        <v>52527</v>
      </c>
      <c r="J429" s="169"/>
      <c r="K429" s="169"/>
      <c r="L429" s="49"/>
      <c r="M429" s="49">
        <v>52527</v>
      </c>
      <c r="N429" s="440"/>
      <c r="O429" s="440"/>
      <c r="P429" s="440"/>
      <c r="Q429" s="440"/>
      <c r="R429" s="408"/>
      <c r="S429" s="49">
        <v>52527</v>
      </c>
      <c r="T429" s="408"/>
      <c r="U429" s="408"/>
      <c r="V429" s="408"/>
      <c r="W429" s="408"/>
      <c r="X429" s="408"/>
      <c r="Y429" s="440"/>
      <c r="Z429" s="408"/>
      <c r="AA429" s="408">
        <f t="shared" si="47"/>
        <v>52527</v>
      </c>
    </row>
    <row r="430" spans="1:27" s="369" customFormat="1" ht="51" customHeight="1">
      <c r="A430" s="512"/>
      <c r="B430" s="512"/>
      <c r="C430" s="502"/>
      <c r="D430" s="382" t="s">
        <v>1007</v>
      </c>
      <c r="E430" s="407"/>
      <c r="F430" s="407"/>
      <c r="G430" s="407"/>
      <c r="H430" s="418">
        <v>3210</v>
      </c>
      <c r="I430" s="144">
        <v>169200</v>
      </c>
      <c r="J430" s="169"/>
      <c r="K430" s="169"/>
      <c r="L430" s="49"/>
      <c r="M430" s="49">
        <v>169200</v>
      </c>
      <c r="N430" s="440"/>
      <c r="O430" s="440"/>
      <c r="P430" s="440"/>
      <c r="Q430" s="440"/>
      <c r="R430" s="408"/>
      <c r="S430" s="408">
        <v>8000</v>
      </c>
      <c r="T430" s="408">
        <v>48360</v>
      </c>
      <c r="U430" s="408">
        <v>112840</v>
      </c>
      <c r="V430" s="408"/>
      <c r="W430" s="408"/>
      <c r="X430" s="408"/>
      <c r="Y430" s="440"/>
      <c r="Z430" s="408"/>
      <c r="AA430" s="408">
        <f t="shared" si="47"/>
        <v>169200</v>
      </c>
    </row>
    <row r="431" spans="1:27" s="369" customFormat="1" ht="47.25">
      <c r="A431" s="594"/>
      <c r="B431" s="594"/>
      <c r="C431" s="502"/>
      <c r="D431" s="382" t="s">
        <v>1008</v>
      </c>
      <c r="E431" s="142">
        <v>70</v>
      </c>
      <c r="F431" s="143">
        <f>100%-((E431-G431)/E431)</f>
        <v>1</v>
      </c>
      <c r="G431" s="142">
        <v>70</v>
      </c>
      <c r="H431" s="418">
        <v>3210</v>
      </c>
      <c r="I431" s="144">
        <v>300000</v>
      </c>
      <c r="J431" s="169"/>
      <c r="K431" s="169"/>
      <c r="L431" s="49"/>
      <c r="M431" s="49">
        <v>300000</v>
      </c>
      <c r="N431" s="440"/>
      <c r="O431" s="440"/>
      <c r="P431" s="440"/>
      <c r="Q431" s="440"/>
      <c r="R431" s="408">
        <v>6000</v>
      </c>
      <c r="S431" s="408">
        <v>88000</v>
      </c>
      <c r="T431" s="408"/>
      <c r="U431" s="408">
        <v>206000</v>
      </c>
      <c r="V431" s="408"/>
      <c r="W431" s="408"/>
      <c r="X431" s="408"/>
      <c r="Y431" s="440"/>
      <c r="Z431" s="408">
        <f>5558.88-4416.92</f>
        <v>1141.96</v>
      </c>
      <c r="AA431" s="408">
        <f t="shared" si="47"/>
        <v>298858.04</v>
      </c>
    </row>
    <row r="432" spans="1:27" s="369" customFormat="1" ht="31.5">
      <c r="A432" s="594"/>
      <c r="B432" s="594"/>
      <c r="C432" s="503"/>
      <c r="D432" s="382" t="s">
        <v>1009</v>
      </c>
      <c r="E432" s="142">
        <v>180</v>
      </c>
      <c r="F432" s="143">
        <f>100%-((E432-G432)/E432)</f>
        <v>1</v>
      </c>
      <c r="G432" s="142">
        <v>180</v>
      </c>
      <c r="H432" s="418">
        <v>3210</v>
      </c>
      <c r="I432" s="144">
        <v>61000</v>
      </c>
      <c r="J432" s="169"/>
      <c r="K432" s="169"/>
      <c r="L432" s="49"/>
      <c r="M432" s="49">
        <v>61000</v>
      </c>
      <c r="N432" s="440"/>
      <c r="O432" s="440"/>
      <c r="P432" s="440"/>
      <c r="Q432" s="440"/>
      <c r="R432" s="408">
        <v>61000</v>
      </c>
      <c r="S432" s="408"/>
      <c r="T432" s="408"/>
      <c r="U432" s="408"/>
      <c r="V432" s="408"/>
      <c r="W432" s="408"/>
      <c r="X432" s="408"/>
      <c r="Y432" s="440"/>
      <c r="Z432" s="408">
        <v>61000</v>
      </c>
      <c r="AA432" s="408">
        <f t="shared" si="47"/>
        <v>0</v>
      </c>
    </row>
    <row r="433" spans="1:27" s="369" customFormat="1" ht="31.5">
      <c r="A433" s="591"/>
      <c r="B433" s="591"/>
      <c r="C433" s="205"/>
      <c r="D433" s="383" t="s">
        <v>1010</v>
      </c>
      <c r="E433" s="142">
        <v>2790</v>
      </c>
      <c r="F433" s="143">
        <f>100%-((E433-G433)/E433)</f>
        <v>1</v>
      </c>
      <c r="G433" s="142">
        <v>2790</v>
      </c>
      <c r="H433" s="418">
        <v>3210</v>
      </c>
      <c r="I433" s="144">
        <v>2840039.72</v>
      </c>
      <c r="J433" s="169"/>
      <c r="K433" s="169"/>
      <c r="L433" s="49"/>
      <c r="M433" s="49">
        <v>2840039.72</v>
      </c>
      <c r="N433" s="440"/>
      <c r="O433" s="440"/>
      <c r="P433" s="440"/>
      <c r="Q433" s="440"/>
      <c r="R433" s="408">
        <v>2840039.72</v>
      </c>
      <c r="S433" s="408"/>
      <c r="T433" s="408"/>
      <c r="U433" s="408"/>
      <c r="V433" s="408"/>
      <c r="W433" s="408"/>
      <c r="X433" s="408"/>
      <c r="Y433" s="440"/>
      <c r="Z433" s="408">
        <v>2840039.72</v>
      </c>
      <c r="AA433" s="408">
        <f t="shared" si="47"/>
        <v>0</v>
      </c>
    </row>
    <row r="434" spans="1:27" ht="10.5" customHeight="1">
      <c r="A434" s="222"/>
      <c r="B434" s="141"/>
      <c r="C434" s="135"/>
      <c r="D434" s="217"/>
      <c r="E434" s="142"/>
      <c r="F434" s="143"/>
      <c r="G434" s="172"/>
      <c r="H434" s="421"/>
      <c r="I434" s="144"/>
      <c r="J434" s="144"/>
      <c r="K434" s="463"/>
      <c r="L434" s="144"/>
      <c r="M434" s="144"/>
      <c r="N434" s="408"/>
      <c r="O434" s="408"/>
      <c r="P434" s="408"/>
      <c r="Q434" s="408"/>
      <c r="R434" s="408"/>
      <c r="S434" s="408"/>
      <c r="T434" s="408"/>
      <c r="U434" s="408"/>
      <c r="V434" s="408"/>
      <c r="W434" s="408"/>
      <c r="X434" s="408"/>
      <c r="Y434" s="408"/>
      <c r="Z434" s="408"/>
      <c r="AA434" s="408">
        <f t="shared" si="47"/>
        <v>0</v>
      </c>
    </row>
    <row r="435" spans="1:27" ht="20.25" customHeight="1">
      <c r="A435" s="233" t="s">
        <v>56</v>
      </c>
      <c r="B435" s="545" t="s">
        <v>520</v>
      </c>
      <c r="C435" s="545"/>
      <c r="D435" s="545"/>
      <c r="E435" s="193"/>
      <c r="F435" s="194"/>
      <c r="G435" s="193"/>
      <c r="H435" s="426"/>
      <c r="I435" s="132">
        <f>I439+I473+I476+I537+I561</f>
        <v>17883421.6</v>
      </c>
      <c r="J435" s="132">
        <f aca="true" t="shared" si="52" ref="J435:Z435">J436+J439+J476+J537+J551+J561+J473</f>
        <v>0</v>
      </c>
      <c r="K435" s="132">
        <f t="shared" si="52"/>
        <v>0</v>
      </c>
      <c r="L435" s="132">
        <f t="shared" si="52"/>
        <v>17883421.6</v>
      </c>
      <c r="M435" s="132">
        <f t="shared" si="52"/>
        <v>0</v>
      </c>
      <c r="N435" s="132">
        <f t="shared" si="52"/>
        <v>0</v>
      </c>
      <c r="O435" s="132">
        <f t="shared" si="52"/>
        <v>4761858.03</v>
      </c>
      <c r="P435" s="132">
        <f t="shared" si="52"/>
        <v>0</v>
      </c>
      <c r="Q435" s="132">
        <f t="shared" si="52"/>
        <v>0</v>
      </c>
      <c r="R435" s="132">
        <f t="shared" si="52"/>
        <v>824103.6</v>
      </c>
      <c r="S435" s="132">
        <f t="shared" si="52"/>
        <v>2079260</v>
      </c>
      <c r="T435" s="132">
        <f t="shared" si="52"/>
        <v>2037693.57</v>
      </c>
      <c r="U435" s="132">
        <f t="shared" si="52"/>
        <v>2094140</v>
      </c>
      <c r="V435" s="132">
        <f t="shared" si="52"/>
        <v>2100000</v>
      </c>
      <c r="W435" s="132">
        <f t="shared" si="52"/>
        <v>1083000</v>
      </c>
      <c r="X435" s="132">
        <f t="shared" si="52"/>
        <v>2022649.4</v>
      </c>
      <c r="Y435" s="132">
        <f t="shared" si="52"/>
        <v>880717</v>
      </c>
      <c r="Z435" s="132">
        <f t="shared" si="52"/>
        <v>5908345.92</v>
      </c>
      <c r="AA435" s="408">
        <f t="shared" si="47"/>
        <v>5888709.28</v>
      </c>
    </row>
    <row r="436" spans="1:61" s="28" customFormat="1" ht="20.25" customHeight="1" hidden="1">
      <c r="A436" s="552" t="s">
        <v>1154</v>
      </c>
      <c r="B436" s="554" t="s">
        <v>1596</v>
      </c>
      <c r="C436" s="195"/>
      <c r="D436" s="136" t="s">
        <v>1597</v>
      </c>
      <c r="E436" s="137"/>
      <c r="F436" s="159"/>
      <c r="G436" s="137"/>
      <c r="H436" s="417"/>
      <c r="I436" s="139" t="e">
        <f>J436+K436+L436+M436+#REF!+#REF!</f>
        <v>#REF!</v>
      </c>
      <c r="J436" s="139">
        <f>J437</f>
        <v>0</v>
      </c>
      <c r="K436" s="139">
        <f>K437</f>
        <v>0</v>
      </c>
      <c r="L436" s="139">
        <f>L437</f>
        <v>0</v>
      </c>
      <c r="M436" s="139">
        <f>M437</f>
        <v>0</v>
      </c>
      <c r="N436" s="469"/>
      <c r="O436" s="469"/>
      <c r="P436" s="440"/>
      <c r="Q436" s="440"/>
      <c r="R436" s="440"/>
      <c r="S436" s="440"/>
      <c r="T436" s="440"/>
      <c r="U436" s="440"/>
      <c r="V436" s="440"/>
      <c r="W436" s="440"/>
      <c r="X436" s="440"/>
      <c r="Y436" s="440"/>
      <c r="Z436" s="440"/>
      <c r="AA436" s="408">
        <f t="shared" si="47"/>
        <v>0</v>
      </c>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row>
    <row r="437" spans="1:27" s="45" customFormat="1" ht="31.5" hidden="1">
      <c r="A437" s="553"/>
      <c r="B437" s="555"/>
      <c r="C437" s="135" t="s">
        <v>370</v>
      </c>
      <c r="D437" s="141" t="s">
        <v>371</v>
      </c>
      <c r="E437" s="142"/>
      <c r="F437" s="143"/>
      <c r="G437" s="172"/>
      <c r="H437" s="421"/>
      <c r="I437" s="144" t="e">
        <f>J437+K437+L437+M437+#REF!+#REF!</f>
        <v>#REF!</v>
      </c>
      <c r="J437" s="169"/>
      <c r="K437" s="169"/>
      <c r="L437" s="144"/>
      <c r="M437" s="144"/>
      <c r="N437" s="408"/>
      <c r="O437" s="408"/>
      <c r="P437" s="408"/>
      <c r="Q437" s="408"/>
      <c r="R437" s="408"/>
      <c r="S437" s="408"/>
      <c r="T437" s="408"/>
      <c r="U437" s="408"/>
      <c r="V437" s="408"/>
      <c r="W437" s="408"/>
      <c r="X437" s="408"/>
      <c r="Y437" s="408"/>
      <c r="Z437" s="408"/>
      <c r="AA437" s="408">
        <f t="shared" si="47"/>
        <v>0</v>
      </c>
    </row>
    <row r="438" spans="1:27" s="30" customFormat="1" ht="18.75" customHeight="1">
      <c r="A438" s="234" t="s">
        <v>1094</v>
      </c>
      <c r="B438" s="235" t="s">
        <v>521</v>
      </c>
      <c r="C438" s="236"/>
      <c r="D438" s="237"/>
      <c r="E438" s="172"/>
      <c r="F438" s="143"/>
      <c r="G438" s="172"/>
      <c r="H438" s="421"/>
      <c r="I438" s="169">
        <f>I439+I473+I476+I537</f>
        <v>17389739.2</v>
      </c>
      <c r="J438" s="169">
        <f aca="true" t="shared" si="53" ref="J438:Z438">J439+J476+J537+J551+J473</f>
        <v>0</v>
      </c>
      <c r="K438" s="169">
        <f t="shared" si="53"/>
        <v>0</v>
      </c>
      <c r="L438" s="169">
        <f t="shared" si="53"/>
        <v>17389739.2</v>
      </c>
      <c r="M438" s="169">
        <f t="shared" si="53"/>
        <v>0</v>
      </c>
      <c r="N438" s="169">
        <f t="shared" si="53"/>
        <v>0</v>
      </c>
      <c r="O438" s="169">
        <f t="shared" si="53"/>
        <v>4754625.63</v>
      </c>
      <c r="P438" s="169">
        <f t="shared" si="53"/>
        <v>0</v>
      </c>
      <c r="Q438" s="169">
        <f t="shared" si="53"/>
        <v>0</v>
      </c>
      <c r="R438" s="169">
        <f t="shared" si="53"/>
        <v>824103.6</v>
      </c>
      <c r="S438" s="169">
        <f t="shared" si="53"/>
        <v>1898748</v>
      </c>
      <c r="T438" s="169">
        <f t="shared" si="53"/>
        <v>1967593.57</v>
      </c>
      <c r="U438" s="169">
        <f t="shared" si="53"/>
        <v>2094140</v>
      </c>
      <c r="V438" s="169">
        <f t="shared" si="53"/>
        <v>2100000</v>
      </c>
      <c r="W438" s="169">
        <f t="shared" si="53"/>
        <v>1083000</v>
      </c>
      <c r="X438" s="169">
        <f t="shared" si="53"/>
        <v>1876709.4</v>
      </c>
      <c r="Y438" s="169">
        <f t="shared" si="53"/>
        <v>790819</v>
      </c>
      <c r="Z438" s="169">
        <f t="shared" si="53"/>
        <v>5650501.52</v>
      </c>
      <c r="AA438" s="408">
        <f t="shared" si="47"/>
        <v>5888709.28</v>
      </c>
    </row>
    <row r="439" spans="1:61" s="54" customFormat="1" ht="20.25" customHeight="1">
      <c r="A439" s="556" t="s">
        <v>698</v>
      </c>
      <c r="B439" s="538" t="s">
        <v>522</v>
      </c>
      <c r="C439" s="195"/>
      <c r="D439" s="216" t="s">
        <v>1597</v>
      </c>
      <c r="E439" s="137"/>
      <c r="F439" s="159"/>
      <c r="G439" s="137"/>
      <c r="H439" s="417"/>
      <c r="I439" s="139">
        <f>I442+I443+I447+I448+I449+I450+I458+I465+I466+I467+I468+I469+I470+I471+I472</f>
        <v>5899177.04</v>
      </c>
      <c r="J439" s="139">
        <f>J442+J443+J447+J448+J449+J450+J458+J465+J466+J467+J468+J469+J470+J471+J472</f>
        <v>0</v>
      </c>
      <c r="K439" s="139">
        <f>K442+K443+K447+K448+K449+K450+K458+K465+K466+K467+K468+K469+K470+K471+K472</f>
        <v>0</v>
      </c>
      <c r="L439" s="139">
        <f>L442+L443+L447+L448+L449+L450+L458+L465+L466+L467+L468+L469+L470+L471+L472</f>
        <v>5899177.04</v>
      </c>
      <c r="M439" s="139">
        <f>M442+M443+M447+M448+M449+M450+M458+M465+M466+M467+M468+M469+M470+M471+M472</f>
        <v>0</v>
      </c>
      <c r="N439" s="139">
        <f aca="true" t="shared" si="54" ref="N439:Z439">N442+N443+N447+N448+N449+N450+N458+N465+N466+N467+N468+N469+N470+N471+N472</f>
        <v>0</v>
      </c>
      <c r="O439" s="139">
        <f t="shared" si="54"/>
        <v>352532.24</v>
      </c>
      <c r="P439" s="139">
        <f t="shared" si="54"/>
        <v>0</v>
      </c>
      <c r="Q439" s="139">
        <f t="shared" si="54"/>
        <v>0</v>
      </c>
      <c r="R439" s="139">
        <f t="shared" si="54"/>
        <v>373833.6</v>
      </c>
      <c r="S439" s="139">
        <f t="shared" si="54"/>
        <v>380210</v>
      </c>
      <c r="T439" s="139">
        <f t="shared" si="54"/>
        <v>794123</v>
      </c>
      <c r="U439" s="139">
        <f t="shared" si="54"/>
        <v>910800</v>
      </c>
      <c r="V439" s="139">
        <f t="shared" si="54"/>
        <v>1650000</v>
      </c>
      <c r="W439" s="139">
        <f t="shared" si="54"/>
        <v>260000</v>
      </c>
      <c r="X439" s="139">
        <f t="shared" si="54"/>
        <v>674591.2</v>
      </c>
      <c r="Y439" s="139">
        <f t="shared" si="54"/>
        <v>503087</v>
      </c>
      <c r="Z439" s="139">
        <f t="shared" si="54"/>
        <v>847598.8</v>
      </c>
      <c r="AA439" s="408">
        <f t="shared" si="47"/>
        <v>1963900.04</v>
      </c>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c r="BE439" s="45"/>
      <c r="BF439" s="45"/>
      <c r="BG439" s="45"/>
      <c r="BH439" s="45"/>
      <c r="BI439" s="45"/>
    </row>
    <row r="440" spans="1:27" ht="47.25" customHeight="1" hidden="1">
      <c r="A440" s="557"/>
      <c r="B440" s="512"/>
      <c r="C440" s="238" t="s">
        <v>523</v>
      </c>
      <c r="D440" s="208" t="s">
        <v>173</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7"/>
        <v>0</v>
      </c>
    </row>
    <row r="441" spans="1:27" ht="47.25" customHeight="1" hidden="1">
      <c r="A441" s="557"/>
      <c r="B441" s="512"/>
      <c r="C441" s="135" t="s">
        <v>174</v>
      </c>
      <c r="D441" s="217" t="s">
        <v>175</v>
      </c>
      <c r="E441" s="142"/>
      <c r="F441" s="143"/>
      <c r="G441" s="142"/>
      <c r="H441" s="418"/>
      <c r="I441" s="144" t="e">
        <f>J441+K441+L441+M441+#REF!+#REF!</f>
        <v>#REF!</v>
      </c>
      <c r="J441" s="144"/>
      <c r="K441" s="144"/>
      <c r="L441" s="144"/>
      <c r="M441" s="144"/>
      <c r="N441" s="408"/>
      <c r="O441" s="408"/>
      <c r="P441" s="408"/>
      <c r="Q441" s="408"/>
      <c r="R441" s="408"/>
      <c r="S441" s="408"/>
      <c r="T441" s="408"/>
      <c r="U441" s="408"/>
      <c r="V441" s="408"/>
      <c r="W441" s="408"/>
      <c r="X441" s="408"/>
      <c r="Y441" s="408"/>
      <c r="Z441" s="408"/>
      <c r="AA441" s="408">
        <f t="shared" si="47"/>
        <v>0</v>
      </c>
    </row>
    <row r="442" spans="1:27" ht="47.25">
      <c r="A442" s="557"/>
      <c r="B442" s="512"/>
      <c r="C442" s="167" t="s">
        <v>176</v>
      </c>
      <c r="D442" s="217" t="s">
        <v>177</v>
      </c>
      <c r="E442" s="142">
        <v>233.79</v>
      </c>
      <c r="F442" s="143">
        <f>100%-((E442-G442)/E442)</f>
        <v>0.964</v>
      </c>
      <c r="G442" s="142">
        <v>225.46</v>
      </c>
      <c r="H442" s="418">
        <v>3132</v>
      </c>
      <c r="I442" s="144">
        <v>3516.4</v>
      </c>
      <c r="J442" s="144"/>
      <c r="K442" s="144"/>
      <c r="L442" s="144">
        <v>3516.4</v>
      </c>
      <c r="M442" s="144"/>
      <c r="N442" s="408"/>
      <c r="O442" s="144">
        <v>3516.4</v>
      </c>
      <c r="P442" s="408"/>
      <c r="Q442" s="408"/>
      <c r="R442" s="408"/>
      <c r="S442" s="408"/>
      <c r="T442" s="408"/>
      <c r="U442" s="408"/>
      <c r="V442" s="408"/>
      <c r="W442" s="408"/>
      <c r="X442" s="408"/>
      <c r="Y442" s="408"/>
      <c r="Z442" s="144">
        <v>3516.4</v>
      </c>
      <c r="AA442" s="408">
        <f t="shared" si="47"/>
        <v>0</v>
      </c>
    </row>
    <row r="443" spans="1:27" ht="31.5">
      <c r="A443" s="557"/>
      <c r="B443" s="512"/>
      <c r="C443" s="167" t="s">
        <v>178</v>
      </c>
      <c r="D443" s="217" t="s">
        <v>635</v>
      </c>
      <c r="E443" s="142"/>
      <c r="F443" s="143"/>
      <c r="G443" s="142"/>
      <c r="H443" s="418">
        <v>3132</v>
      </c>
      <c r="I443" s="144">
        <v>4260.64</v>
      </c>
      <c r="J443" s="144"/>
      <c r="K443" s="144"/>
      <c r="L443" s="144">
        <v>4260.64</v>
      </c>
      <c r="M443" s="144"/>
      <c r="N443" s="408"/>
      <c r="O443" s="144">
        <v>4260.64</v>
      </c>
      <c r="P443" s="408"/>
      <c r="Q443" s="408"/>
      <c r="R443" s="408"/>
      <c r="S443" s="408"/>
      <c r="T443" s="408"/>
      <c r="U443" s="408"/>
      <c r="V443" s="408"/>
      <c r="W443" s="408"/>
      <c r="X443" s="408"/>
      <c r="Y443" s="408"/>
      <c r="Z443" s="144">
        <v>4260.64</v>
      </c>
      <c r="AA443" s="408">
        <f t="shared" si="47"/>
        <v>0</v>
      </c>
    </row>
    <row r="444" spans="1:27" ht="15.75" customHeight="1" hidden="1">
      <c r="A444" s="557"/>
      <c r="B444" s="512"/>
      <c r="C444" s="167"/>
      <c r="D444" s="240" t="s">
        <v>260</v>
      </c>
      <c r="E444" s="142">
        <v>124.385</v>
      </c>
      <c r="F444" s="143">
        <f>100%-((E444-G444)/E444)</f>
        <v>1</v>
      </c>
      <c r="G444" s="142">
        <v>124.385</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7"/>
        <v>0</v>
      </c>
    </row>
    <row r="445" spans="1:27" ht="15.75" customHeight="1" hidden="1">
      <c r="A445" s="557"/>
      <c r="B445" s="512"/>
      <c r="C445" s="167"/>
      <c r="D445" s="240" t="s">
        <v>261</v>
      </c>
      <c r="E445" s="142">
        <v>23.04</v>
      </c>
      <c r="F445" s="143">
        <f>100%-((E445-G445)/E445)</f>
        <v>1</v>
      </c>
      <c r="G445" s="142">
        <v>23.04</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7"/>
        <v>0</v>
      </c>
    </row>
    <row r="446" spans="1:27" ht="15.75" customHeight="1" hidden="1">
      <c r="A446" s="557"/>
      <c r="B446" s="512"/>
      <c r="C446" s="167"/>
      <c r="D446" s="240" t="s">
        <v>262</v>
      </c>
      <c r="E446" s="142">
        <v>14.93</v>
      </c>
      <c r="F446" s="143">
        <f>100%-((E446-G446)/E446)</f>
        <v>1</v>
      </c>
      <c r="G446" s="142">
        <v>14.93</v>
      </c>
      <c r="H446" s="418">
        <v>3132</v>
      </c>
      <c r="I446" s="144">
        <v>0</v>
      </c>
      <c r="J446" s="144"/>
      <c r="K446" s="144"/>
      <c r="L446" s="144"/>
      <c r="M446" s="144"/>
      <c r="N446" s="408"/>
      <c r="O446" s="144">
        <v>0</v>
      </c>
      <c r="P446" s="408"/>
      <c r="Q446" s="408"/>
      <c r="R446" s="408"/>
      <c r="S446" s="408"/>
      <c r="T446" s="408"/>
      <c r="U446" s="408"/>
      <c r="V446" s="408"/>
      <c r="W446" s="408"/>
      <c r="X446" s="408"/>
      <c r="Y446" s="408"/>
      <c r="Z446" s="144">
        <v>0</v>
      </c>
      <c r="AA446" s="408">
        <f t="shared" si="47"/>
        <v>0</v>
      </c>
    </row>
    <row r="447" spans="1:27" ht="47.25">
      <c r="A447" s="557"/>
      <c r="B447" s="512"/>
      <c r="C447" s="167" t="s">
        <v>263</v>
      </c>
      <c r="D447" s="217" t="s">
        <v>264</v>
      </c>
      <c r="E447" s="142">
        <v>893</v>
      </c>
      <c r="F447" s="143">
        <f>100%-((E447-G447)/E447)</f>
        <v>1</v>
      </c>
      <c r="G447" s="142">
        <v>893</v>
      </c>
      <c r="H447" s="418">
        <v>3132</v>
      </c>
      <c r="I447" s="144">
        <v>175328.6</v>
      </c>
      <c r="J447" s="144"/>
      <c r="K447" s="144"/>
      <c r="L447" s="144">
        <v>175328.6</v>
      </c>
      <c r="M447" s="144"/>
      <c r="N447" s="408"/>
      <c r="O447" s="144">
        <v>175328.6</v>
      </c>
      <c r="P447" s="408"/>
      <c r="Q447" s="408"/>
      <c r="R447" s="408"/>
      <c r="S447" s="408"/>
      <c r="T447" s="408"/>
      <c r="U447" s="408"/>
      <c r="V447" s="408"/>
      <c r="W447" s="408"/>
      <c r="X447" s="408"/>
      <c r="Y447" s="408"/>
      <c r="Z447" s="144">
        <v>175328.6</v>
      </c>
      <c r="AA447" s="408">
        <f t="shared" si="47"/>
        <v>0</v>
      </c>
    </row>
    <row r="448" spans="1:27" ht="31.5">
      <c r="A448" s="557"/>
      <c r="B448" s="512"/>
      <c r="C448" s="167" t="s">
        <v>265</v>
      </c>
      <c r="D448" s="217" t="s">
        <v>266</v>
      </c>
      <c r="E448" s="142">
        <v>118.538</v>
      </c>
      <c r="F448" s="143">
        <f>100%-((E448-G448)/E448)</f>
        <v>1</v>
      </c>
      <c r="G448" s="142">
        <v>118.538</v>
      </c>
      <c r="H448" s="418">
        <v>3132</v>
      </c>
      <c r="I448" s="144">
        <v>169426.6</v>
      </c>
      <c r="J448" s="144"/>
      <c r="K448" s="144"/>
      <c r="L448" s="144">
        <v>169426.6</v>
      </c>
      <c r="M448" s="144"/>
      <c r="N448" s="408"/>
      <c r="O448" s="144">
        <v>169426.6</v>
      </c>
      <c r="P448" s="408"/>
      <c r="Q448" s="408"/>
      <c r="R448" s="408"/>
      <c r="S448" s="408"/>
      <c r="T448" s="408"/>
      <c r="U448" s="408"/>
      <c r="V448" s="408"/>
      <c r="W448" s="408"/>
      <c r="X448" s="408"/>
      <c r="Y448" s="408"/>
      <c r="Z448" s="144">
        <v>169426.6</v>
      </c>
      <c r="AA448" s="408">
        <f t="shared" si="47"/>
        <v>0</v>
      </c>
    </row>
    <row r="449" spans="1:27" ht="15.75">
      <c r="A449" s="557"/>
      <c r="B449" s="512"/>
      <c r="C449" s="167"/>
      <c r="D449" s="78" t="s">
        <v>223</v>
      </c>
      <c r="E449" s="142"/>
      <c r="F449" s="143"/>
      <c r="G449" s="142"/>
      <c r="H449" s="418">
        <v>3110</v>
      </c>
      <c r="I449" s="144">
        <v>120000</v>
      </c>
      <c r="J449" s="144"/>
      <c r="K449" s="144"/>
      <c r="L449" s="372">
        <v>120000</v>
      </c>
      <c r="M449" s="144"/>
      <c r="N449" s="408"/>
      <c r="O449" s="408"/>
      <c r="P449" s="408"/>
      <c r="Q449" s="408"/>
      <c r="R449" s="408"/>
      <c r="S449" s="408"/>
      <c r="T449" s="408">
        <v>120000</v>
      </c>
      <c r="U449" s="408"/>
      <c r="V449" s="408"/>
      <c r="W449" s="408"/>
      <c r="X449" s="408"/>
      <c r="Y449" s="408"/>
      <c r="Z449" s="408"/>
      <c r="AA449" s="408">
        <f t="shared" si="47"/>
        <v>120000</v>
      </c>
    </row>
    <row r="450" spans="1:27" ht="31.5">
      <c r="A450" s="557"/>
      <c r="B450" s="512"/>
      <c r="C450" s="167"/>
      <c r="D450" s="242" t="s">
        <v>1510</v>
      </c>
      <c r="E450" s="142"/>
      <c r="F450" s="143"/>
      <c r="G450" s="142"/>
      <c r="H450" s="418"/>
      <c r="I450" s="243">
        <f>SUM(I451:I457)</f>
        <v>2500000</v>
      </c>
      <c r="J450" s="371">
        <f>SUM(J451:J457)</f>
        <v>0</v>
      </c>
      <c r="K450" s="371">
        <f>SUM(K451:K457)</f>
        <v>0</v>
      </c>
      <c r="L450" s="243">
        <f>SUM(L451:L457)</f>
        <v>2500000</v>
      </c>
      <c r="M450" s="243">
        <f aca="true" t="shared" si="55" ref="M450:Y450">SUM(M451:M457)</f>
        <v>0</v>
      </c>
      <c r="N450" s="243">
        <f t="shared" si="55"/>
        <v>0</v>
      </c>
      <c r="O450" s="243">
        <f t="shared" si="55"/>
        <v>0</v>
      </c>
      <c r="P450" s="243">
        <f t="shared" si="55"/>
        <v>0</v>
      </c>
      <c r="Q450" s="243">
        <f t="shared" si="55"/>
        <v>0</v>
      </c>
      <c r="R450" s="243">
        <f t="shared" si="55"/>
        <v>0</v>
      </c>
      <c r="S450" s="243">
        <f t="shared" si="55"/>
        <v>0</v>
      </c>
      <c r="T450" s="243">
        <f t="shared" si="55"/>
        <v>0</v>
      </c>
      <c r="U450" s="243">
        <f t="shared" si="55"/>
        <v>850000</v>
      </c>
      <c r="V450" s="243">
        <f t="shared" si="55"/>
        <v>1650000</v>
      </c>
      <c r="W450" s="243">
        <f t="shared" si="55"/>
        <v>0</v>
      </c>
      <c r="X450" s="243">
        <f t="shared" si="55"/>
        <v>0</v>
      </c>
      <c r="Y450" s="243">
        <f t="shared" si="55"/>
        <v>0</v>
      </c>
      <c r="Z450" s="408"/>
      <c r="AA450" s="408">
        <f t="shared" si="47"/>
        <v>850000</v>
      </c>
    </row>
    <row r="451" spans="1:27" s="64" customFormat="1" ht="15.75">
      <c r="A451" s="557"/>
      <c r="B451" s="512"/>
      <c r="C451" s="244"/>
      <c r="D451" s="349" t="s">
        <v>220</v>
      </c>
      <c r="E451" s="199"/>
      <c r="F451" s="200"/>
      <c r="G451" s="199"/>
      <c r="H451" s="418">
        <v>3110</v>
      </c>
      <c r="I451" s="201">
        <v>1500000</v>
      </c>
      <c r="J451" s="201"/>
      <c r="K451" s="201"/>
      <c r="L451" s="470">
        <v>1500000</v>
      </c>
      <c r="M451" s="201"/>
      <c r="N451" s="466"/>
      <c r="O451" s="466"/>
      <c r="P451" s="466"/>
      <c r="Q451" s="466"/>
      <c r="R451" s="466"/>
      <c r="S451" s="466"/>
      <c r="T451" s="466"/>
      <c r="U451" s="466"/>
      <c r="V451" s="466">
        <v>1500000</v>
      </c>
      <c r="W451" s="466"/>
      <c r="X451" s="466"/>
      <c r="Y451" s="466"/>
      <c r="Z451" s="466"/>
      <c r="AA451" s="408">
        <f t="shared" si="47"/>
        <v>0</v>
      </c>
    </row>
    <row r="452" spans="1:27" s="64" customFormat="1" ht="15.75">
      <c r="A452" s="557"/>
      <c r="B452" s="512"/>
      <c r="C452" s="244"/>
      <c r="D452" s="349" t="s">
        <v>1512</v>
      </c>
      <c r="E452" s="199"/>
      <c r="F452" s="200"/>
      <c r="G452" s="199"/>
      <c r="H452" s="418">
        <v>3110</v>
      </c>
      <c r="I452" s="201">
        <v>150000</v>
      </c>
      <c r="J452" s="201"/>
      <c r="K452" s="201"/>
      <c r="L452" s="470">
        <v>150000</v>
      </c>
      <c r="M452" s="201"/>
      <c r="N452" s="466"/>
      <c r="O452" s="466"/>
      <c r="P452" s="466"/>
      <c r="Q452" s="466"/>
      <c r="R452" s="466"/>
      <c r="S452" s="466"/>
      <c r="T452" s="466"/>
      <c r="U452" s="466"/>
      <c r="V452" s="466">
        <v>150000</v>
      </c>
      <c r="W452" s="466"/>
      <c r="X452" s="466"/>
      <c r="Y452" s="466"/>
      <c r="Z452" s="466"/>
      <c r="AA452" s="408">
        <f t="shared" si="47"/>
        <v>0</v>
      </c>
    </row>
    <row r="453" spans="1:27" s="64" customFormat="1" ht="15.75">
      <c r="A453" s="557"/>
      <c r="B453" s="512"/>
      <c r="C453" s="244"/>
      <c r="D453" s="349" t="s">
        <v>1513</v>
      </c>
      <c r="E453" s="199"/>
      <c r="F453" s="200"/>
      <c r="G453" s="199"/>
      <c r="H453" s="418">
        <v>3110</v>
      </c>
      <c r="I453" s="201">
        <v>100000</v>
      </c>
      <c r="J453" s="201"/>
      <c r="K453" s="201"/>
      <c r="L453" s="470">
        <v>100000</v>
      </c>
      <c r="M453" s="201"/>
      <c r="N453" s="466"/>
      <c r="O453" s="466"/>
      <c r="P453" s="466"/>
      <c r="Q453" s="466"/>
      <c r="R453" s="466"/>
      <c r="S453" s="466"/>
      <c r="T453" s="466"/>
      <c r="U453" s="466">
        <v>100000</v>
      </c>
      <c r="V453" s="466"/>
      <c r="W453" s="466"/>
      <c r="X453" s="466"/>
      <c r="Y453" s="466"/>
      <c r="Z453" s="466"/>
      <c r="AA453" s="408">
        <f t="shared" si="47"/>
        <v>100000</v>
      </c>
    </row>
    <row r="454" spans="1:27" s="64" customFormat="1" ht="15.75">
      <c r="A454" s="557"/>
      <c r="B454" s="512"/>
      <c r="C454" s="244"/>
      <c r="D454" s="349" t="s">
        <v>1514</v>
      </c>
      <c r="E454" s="199"/>
      <c r="F454" s="200"/>
      <c r="G454" s="199"/>
      <c r="H454" s="418">
        <v>3110</v>
      </c>
      <c r="I454" s="201">
        <v>220000</v>
      </c>
      <c r="J454" s="201"/>
      <c r="K454" s="201"/>
      <c r="L454" s="470">
        <v>220000</v>
      </c>
      <c r="M454" s="201"/>
      <c r="N454" s="466"/>
      <c r="O454" s="466"/>
      <c r="P454" s="466"/>
      <c r="Q454" s="466"/>
      <c r="R454" s="466"/>
      <c r="S454" s="466"/>
      <c r="T454" s="466"/>
      <c r="U454" s="466">
        <v>220000</v>
      </c>
      <c r="V454" s="466"/>
      <c r="W454" s="466"/>
      <c r="X454" s="466"/>
      <c r="Y454" s="466"/>
      <c r="Z454" s="466"/>
      <c r="AA454" s="408">
        <f t="shared" si="47"/>
        <v>220000</v>
      </c>
    </row>
    <row r="455" spans="1:27" s="64" customFormat="1" ht="15.75">
      <c r="A455" s="557"/>
      <c r="B455" s="512"/>
      <c r="C455" s="244"/>
      <c r="D455" s="349" t="s">
        <v>631</v>
      </c>
      <c r="E455" s="199"/>
      <c r="F455" s="200"/>
      <c r="G455" s="199"/>
      <c r="H455" s="418">
        <v>3110</v>
      </c>
      <c r="I455" s="201">
        <v>230000</v>
      </c>
      <c r="J455" s="201"/>
      <c r="K455" s="201"/>
      <c r="L455" s="470">
        <v>230000</v>
      </c>
      <c r="M455" s="201"/>
      <c r="N455" s="466"/>
      <c r="O455" s="466"/>
      <c r="P455" s="466"/>
      <c r="Q455" s="466"/>
      <c r="R455" s="466"/>
      <c r="S455" s="466"/>
      <c r="T455" s="466"/>
      <c r="U455" s="466">
        <v>230000</v>
      </c>
      <c r="V455" s="466"/>
      <c r="W455" s="466"/>
      <c r="X455" s="466"/>
      <c r="Y455" s="466"/>
      <c r="Z455" s="466"/>
      <c r="AA455" s="408">
        <f t="shared" si="47"/>
        <v>230000</v>
      </c>
    </row>
    <row r="456" spans="1:27" s="64" customFormat="1" ht="15.75">
      <c r="A456" s="557"/>
      <c r="B456" s="512"/>
      <c r="C456" s="244"/>
      <c r="D456" s="349" t="s">
        <v>632</v>
      </c>
      <c r="E456" s="199"/>
      <c r="F456" s="200"/>
      <c r="G456" s="199"/>
      <c r="H456" s="418">
        <v>3110</v>
      </c>
      <c r="I456" s="201">
        <v>200000</v>
      </c>
      <c r="J456" s="201"/>
      <c r="K456" s="201"/>
      <c r="L456" s="470">
        <v>200000</v>
      </c>
      <c r="M456" s="201"/>
      <c r="N456" s="466"/>
      <c r="O456" s="466"/>
      <c r="P456" s="466"/>
      <c r="Q456" s="466"/>
      <c r="R456" s="466"/>
      <c r="S456" s="466"/>
      <c r="T456" s="466"/>
      <c r="U456" s="466">
        <v>200000</v>
      </c>
      <c r="V456" s="466"/>
      <c r="W456" s="466"/>
      <c r="X456" s="466"/>
      <c r="Y456" s="466"/>
      <c r="Z456" s="466"/>
      <c r="AA456" s="408">
        <f t="shared" si="47"/>
        <v>200000</v>
      </c>
    </row>
    <row r="457" spans="1:27" s="64" customFormat="1" ht="15.75">
      <c r="A457" s="557"/>
      <c r="B457" s="512"/>
      <c r="C457" s="244"/>
      <c r="D457" s="349" t="s">
        <v>633</v>
      </c>
      <c r="E457" s="199"/>
      <c r="F457" s="200"/>
      <c r="G457" s="199"/>
      <c r="H457" s="418">
        <v>3110</v>
      </c>
      <c r="I457" s="201">
        <v>100000</v>
      </c>
      <c r="J457" s="201"/>
      <c r="K457" s="201"/>
      <c r="L457" s="470">
        <v>100000</v>
      </c>
      <c r="M457" s="201"/>
      <c r="N457" s="466"/>
      <c r="O457" s="466"/>
      <c r="P457" s="466"/>
      <c r="Q457" s="466"/>
      <c r="R457" s="466"/>
      <c r="S457" s="466"/>
      <c r="T457" s="466"/>
      <c r="U457" s="466">
        <v>100000</v>
      </c>
      <c r="V457" s="466"/>
      <c r="W457" s="466"/>
      <c r="X457" s="466"/>
      <c r="Y457" s="466"/>
      <c r="Z457" s="466"/>
      <c r="AA457" s="408">
        <f t="shared" si="47"/>
        <v>100000</v>
      </c>
    </row>
    <row r="458" spans="1:27" ht="47.25">
      <c r="A458" s="557"/>
      <c r="B458" s="512"/>
      <c r="C458" s="167"/>
      <c r="D458" s="13" t="s">
        <v>221</v>
      </c>
      <c r="E458" s="142"/>
      <c r="F458" s="143"/>
      <c r="G458" s="142"/>
      <c r="H458" s="418"/>
      <c r="I458" s="49">
        <f>SUM(I459:I464)</f>
        <v>60800</v>
      </c>
      <c r="J458" s="372">
        <f>SUM(J459:J464)</f>
        <v>0</v>
      </c>
      <c r="K458" s="372">
        <f>SUM(K459:K464)</f>
        <v>0</v>
      </c>
      <c r="L458" s="49">
        <f>SUM(L459:L464)</f>
        <v>60800</v>
      </c>
      <c r="M458" s="49">
        <f aca="true" t="shared" si="56" ref="M458:Y458">SUM(M459:M464)</f>
        <v>0</v>
      </c>
      <c r="N458" s="49">
        <f t="shared" si="56"/>
        <v>0</v>
      </c>
      <c r="O458" s="49">
        <f t="shared" si="56"/>
        <v>0</v>
      </c>
      <c r="P458" s="49">
        <f t="shared" si="56"/>
        <v>0</v>
      </c>
      <c r="Q458" s="49">
        <f t="shared" si="56"/>
        <v>0</v>
      </c>
      <c r="R458" s="49">
        <f t="shared" si="56"/>
        <v>0</v>
      </c>
      <c r="S458" s="49">
        <f t="shared" si="56"/>
        <v>0</v>
      </c>
      <c r="T458" s="49">
        <f t="shared" si="56"/>
        <v>0</v>
      </c>
      <c r="U458" s="49">
        <f t="shared" si="56"/>
        <v>60800</v>
      </c>
      <c r="V458" s="49">
        <f t="shared" si="56"/>
        <v>0</v>
      </c>
      <c r="W458" s="49">
        <f t="shared" si="56"/>
        <v>0</v>
      </c>
      <c r="X458" s="49">
        <f t="shared" si="56"/>
        <v>0</v>
      </c>
      <c r="Y458" s="49">
        <f t="shared" si="56"/>
        <v>0</v>
      </c>
      <c r="Z458" s="408"/>
      <c r="AA458" s="408">
        <f t="shared" si="47"/>
        <v>60800</v>
      </c>
    </row>
    <row r="459" spans="1:27" s="64" customFormat="1" ht="15.75">
      <c r="A459" s="557"/>
      <c r="B459" s="512"/>
      <c r="C459" s="244"/>
      <c r="D459" s="350" t="s">
        <v>1360</v>
      </c>
      <c r="E459" s="199"/>
      <c r="F459" s="200"/>
      <c r="G459" s="199"/>
      <c r="H459" s="418">
        <v>3110</v>
      </c>
      <c r="I459" s="201">
        <v>14400</v>
      </c>
      <c r="J459" s="201"/>
      <c r="K459" s="201"/>
      <c r="L459" s="470">
        <v>14400</v>
      </c>
      <c r="M459" s="201"/>
      <c r="N459" s="466"/>
      <c r="O459" s="466"/>
      <c r="P459" s="466"/>
      <c r="Q459" s="466"/>
      <c r="R459" s="466"/>
      <c r="S459" s="466"/>
      <c r="T459" s="466"/>
      <c r="U459" s="466">
        <v>14400</v>
      </c>
      <c r="V459" s="466"/>
      <c r="W459" s="466"/>
      <c r="X459" s="466"/>
      <c r="Y459" s="466"/>
      <c r="Z459" s="466"/>
      <c r="AA459" s="408">
        <f t="shared" si="47"/>
        <v>14400</v>
      </c>
    </row>
    <row r="460" spans="1:27" s="64" customFormat="1" ht="31.5">
      <c r="A460" s="557"/>
      <c r="B460" s="512"/>
      <c r="C460" s="244"/>
      <c r="D460" s="346" t="s">
        <v>634</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7"/>
        <v>12000</v>
      </c>
    </row>
    <row r="461" spans="1:27" s="64" customFormat="1" ht="31.5">
      <c r="A461" s="557"/>
      <c r="B461" s="512"/>
      <c r="C461" s="244"/>
      <c r="D461" s="346" t="s">
        <v>172</v>
      </c>
      <c r="E461" s="199"/>
      <c r="F461" s="200"/>
      <c r="G461" s="199"/>
      <c r="H461" s="418">
        <v>3110</v>
      </c>
      <c r="I461" s="201">
        <v>12000</v>
      </c>
      <c r="J461" s="201"/>
      <c r="K461" s="201"/>
      <c r="L461" s="470">
        <v>12000</v>
      </c>
      <c r="M461" s="201"/>
      <c r="N461" s="466"/>
      <c r="O461" s="466"/>
      <c r="P461" s="466"/>
      <c r="Q461" s="466"/>
      <c r="R461" s="466"/>
      <c r="S461" s="466"/>
      <c r="T461" s="466"/>
      <c r="U461" s="466">
        <v>12000</v>
      </c>
      <c r="V461" s="466"/>
      <c r="W461" s="466"/>
      <c r="X461" s="466"/>
      <c r="Y461" s="466"/>
      <c r="Z461" s="466"/>
      <c r="AA461" s="408">
        <f t="shared" si="47"/>
        <v>12000</v>
      </c>
    </row>
    <row r="462" spans="1:27" s="64" customFormat="1" ht="15.75">
      <c r="A462" s="557"/>
      <c r="B462" s="512"/>
      <c r="C462" s="244"/>
      <c r="D462" s="346" t="s">
        <v>1361</v>
      </c>
      <c r="E462" s="199"/>
      <c r="F462" s="200"/>
      <c r="G462" s="199"/>
      <c r="H462" s="418">
        <v>3110</v>
      </c>
      <c r="I462" s="201">
        <v>4000</v>
      </c>
      <c r="J462" s="201"/>
      <c r="K462" s="201"/>
      <c r="L462" s="470">
        <v>4000</v>
      </c>
      <c r="M462" s="201"/>
      <c r="N462" s="466"/>
      <c r="O462" s="466"/>
      <c r="P462" s="466"/>
      <c r="Q462" s="466"/>
      <c r="R462" s="466"/>
      <c r="S462" s="466"/>
      <c r="T462" s="466"/>
      <c r="U462" s="466">
        <v>4000</v>
      </c>
      <c r="V462" s="466"/>
      <c r="W462" s="466"/>
      <c r="X462" s="466"/>
      <c r="Y462" s="466"/>
      <c r="Z462" s="466"/>
      <c r="AA462" s="408">
        <f t="shared" si="47"/>
        <v>4000</v>
      </c>
    </row>
    <row r="463" spans="1:27" s="64" customFormat="1" ht="15.75">
      <c r="A463" s="557"/>
      <c r="B463" s="512"/>
      <c r="C463" s="244"/>
      <c r="D463" s="346" t="s">
        <v>222</v>
      </c>
      <c r="E463" s="199"/>
      <c r="F463" s="200"/>
      <c r="G463" s="199"/>
      <c r="H463" s="418">
        <v>3110</v>
      </c>
      <c r="I463" s="201">
        <v>10900</v>
      </c>
      <c r="J463" s="201"/>
      <c r="K463" s="201"/>
      <c r="L463" s="470">
        <v>10900</v>
      </c>
      <c r="M463" s="201"/>
      <c r="N463" s="466"/>
      <c r="O463" s="466"/>
      <c r="P463" s="466"/>
      <c r="Q463" s="466"/>
      <c r="R463" s="466"/>
      <c r="S463" s="466"/>
      <c r="T463" s="466"/>
      <c r="U463" s="466">
        <v>10900</v>
      </c>
      <c r="V463" s="466"/>
      <c r="W463" s="466"/>
      <c r="X463" s="466"/>
      <c r="Y463" s="466"/>
      <c r="Z463" s="466"/>
      <c r="AA463" s="408">
        <f t="shared" si="47"/>
        <v>10900</v>
      </c>
    </row>
    <row r="464" spans="1:27" s="64" customFormat="1" ht="15.75">
      <c r="A464" s="557"/>
      <c r="B464" s="512"/>
      <c r="C464" s="244"/>
      <c r="D464" s="346" t="s">
        <v>1362</v>
      </c>
      <c r="E464" s="199"/>
      <c r="F464" s="200"/>
      <c r="G464" s="199"/>
      <c r="H464" s="418">
        <v>3110</v>
      </c>
      <c r="I464" s="201">
        <v>7500</v>
      </c>
      <c r="J464" s="201"/>
      <c r="K464" s="201"/>
      <c r="L464" s="470">
        <v>7500</v>
      </c>
      <c r="M464" s="201"/>
      <c r="N464" s="466"/>
      <c r="O464" s="466"/>
      <c r="P464" s="466"/>
      <c r="Q464" s="466"/>
      <c r="R464" s="466"/>
      <c r="S464" s="466"/>
      <c r="T464" s="466"/>
      <c r="U464" s="466">
        <v>7500</v>
      </c>
      <c r="V464" s="466"/>
      <c r="W464" s="466"/>
      <c r="X464" s="466"/>
      <c r="Y464" s="466"/>
      <c r="Z464" s="466"/>
      <c r="AA464" s="408">
        <f t="shared" si="47"/>
        <v>7500</v>
      </c>
    </row>
    <row r="465" spans="1:27" ht="69.75" customHeight="1">
      <c r="A465" s="557"/>
      <c r="B465" s="512"/>
      <c r="C465" s="167"/>
      <c r="D465" s="13" t="s">
        <v>224</v>
      </c>
      <c r="E465" s="142"/>
      <c r="F465" s="143"/>
      <c r="G465" s="142"/>
      <c r="H465" s="418">
        <v>3132</v>
      </c>
      <c r="I465" s="144">
        <v>100000</v>
      </c>
      <c r="J465" s="144"/>
      <c r="K465" s="144"/>
      <c r="L465" s="471">
        <v>100000</v>
      </c>
      <c r="M465" s="144"/>
      <c r="N465" s="408"/>
      <c r="O465" s="408"/>
      <c r="P465" s="408"/>
      <c r="Q465" s="408"/>
      <c r="R465" s="408">
        <v>100000</v>
      </c>
      <c r="S465" s="408"/>
      <c r="T465" s="408"/>
      <c r="U465" s="408"/>
      <c r="V465" s="408"/>
      <c r="W465" s="408"/>
      <c r="X465" s="408"/>
      <c r="Y465" s="408"/>
      <c r="Z465" s="408"/>
      <c r="AA465" s="408">
        <f t="shared" si="47"/>
        <v>100000</v>
      </c>
    </row>
    <row r="466" spans="1:27" ht="31.5">
      <c r="A466" s="557"/>
      <c r="B466" s="512"/>
      <c r="C466" s="167"/>
      <c r="D466" s="13" t="s">
        <v>226</v>
      </c>
      <c r="E466" s="142"/>
      <c r="F466" s="143"/>
      <c r="G466" s="142"/>
      <c r="H466" s="418">
        <v>3132</v>
      </c>
      <c r="I466" s="144">
        <v>53783.2</v>
      </c>
      <c r="J466" s="144"/>
      <c r="K466" s="144"/>
      <c r="L466" s="471">
        <v>53783.2</v>
      </c>
      <c r="M466" s="144"/>
      <c r="N466" s="408"/>
      <c r="O466" s="408"/>
      <c r="P466" s="408"/>
      <c r="Q466" s="408"/>
      <c r="R466" s="408"/>
      <c r="S466" s="408"/>
      <c r="T466" s="408"/>
      <c r="U466" s="408"/>
      <c r="V466" s="408"/>
      <c r="W466" s="408"/>
      <c r="X466" s="408">
        <v>53783.2</v>
      </c>
      <c r="Y466" s="408"/>
      <c r="Z466" s="408"/>
      <c r="AA466" s="408">
        <f t="shared" si="47"/>
        <v>0</v>
      </c>
    </row>
    <row r="467" spans="1:27" ht="31.5">
      <c r="A467" s="557"/>
      <c r="B467" s="512"/>
      <c r="C467" s="167"/>
      <c r="D467" s="13" t="s">
        <v>225</v>
      </c>
      <c r="E467" s="142"/>
      <c r="F467" s="143"/>
      <c r="G467" s="142"/>
      <c r="H467" s="418">
        <v>3132</v>
      </c>
      <c r="I467" s="144">
        <v>97708</v>
      </c>
      <c r="J467" s="144"/>
      <c r="K467" s="144"/>
      <c r="L467" s="471">
        <v>97708</v>
      </c>
      <c r="M467" s="144"/>
      <c r="N467" s="408"/>
      <c r="O467" s="408"/>
      <c r="P467" s="408"/>
      <c r="Q467" s="408"/>
      <c r="R467" s="408"/>
      <c r="S467" s="408"/>
      <c r="T467" s="408"/>
      <c r="U467" s="408"/>
      <c r="V467" s="408"/>
      <c r="W467" s="408"/>
      <c r="X467" s="408">
        <v>97708</v>
      </c>
      <c r="Y467" s="408"/>
      <c r="Z467" s="408"/>
      <c r="AA467" s="408">
        <f t="shared" si="47"/>
        <v>0</v>
      </c>
    </row>
    <row r="468" spans="1:27" ht="31.5">
      <c r="A468" s="557"/>
      <c r="B468" s="512"/>
      <c r="C468" s="167"/>
      <c r="D468" s="13" t="s">
        <v>938</v>
      </c>
      <c r="E468" s="142"/>
      <c r="F468" s="143"/>
      <c r="G468" s="142"/>
      <c r="H468" s="418">
        <v>3132</v>
      </c>
      <c r="I468" s="144">
        <v>81810</v>
      </c>
      <c r="J468" s="144"/>
      <c r="K468" s="144"/>
      <c r="L468" s="471">
        <v>81810</v>
      </c>
      <c r="M468" s="144"/>
      <c r="N468" s="408"/>
      <c r="O468" s="408"/>
      <c r="P468" s="408"/>
      <c r="Q468" s="408"/>
      <c r="R468" s="408">
        <v>24600</v>
      </c>
      <c r="S468" s="408">
        <v>57210</v>
      </c>
      <c r="T468" s="408"/>
      <c r="U468" s="408"/>
      <c r="V468" s="408"/>
      <c r="W468" s="408"/>
      <c r="X468" s="408"/>
      <c r="Y468" s="408"/>
      <c r="Z468" s="408">
        <v>8247.26</v>
      </c>
      <c r="AA468" s="408">
        <f t="shared" si="47"/>
        <v>73562.74</v>
      </c>
    </row>
    <row r="469" spans="1:27" ht="31.5">
      <c r="A469" s="557"/>
      <c r="B469" s="512"/>
      <c r="C469" s="167"/>
      <c r="D469" s="13" t="s">
        <v>1437</v>
      </c>
      <c r="E469" s="142"/>
      <c r="F469" s="143"/>
      <c r="G469" s="142"/>
      <c r="H469" s="418">
        <v>3132</v>
      </c>
      <c r="I469" s="144">
        <v>58133.6</v>
      </c>
      <c r="J469" s="144"/>
      <c r="K469" s="144"/>
      <c r="L469" s="471">
        <v>58133.6</v>
      </c>
      <c r="M469" s="144"/>
      <c r="N469" s="408"/>
      <c r="O469" s="408"/>
      <c r="P469" s="408"/>
      <c r="Q469" s="408"/>
      <c r="R469" s="408">
        <v>58133.6</v>
      </c>
      <c r="S469" s="408"/>
      <c r="T469" s="408"/>
      <c r="U469" s="408"/>
      <c r="V469" s="408"/>
      <c r="W469" s="408"/>
      <c r="X469" s="408"/>
      <c r="Y469" s="408"/>
      <c r="Z469" s="408">
        <v>47632.06</v>
      </c>
      <c r="AA469" s="408">
        <f aca="true" t="shared" si="57" ref="AA469:AA532">N469+O469+P469+Q469+R469+S469+T469+U469-Z469</f>
        <v>10501.54</v>
      </c>
    </row>
    <row r="470" spans="1:27" ht="31.5">
      <c r="A470" s="557"/>
      <c r="B470" s="512"/>
      <c r="C470" s="167"/>
      <c r="D470" s="248" t="s">
        <v>941</v>
      </c>
      <c r="E470" s="142"/>
      <c r="F470" s="143"/>
      <c r="G470" s="142"/>
      <c r="H470" s="418">
        <v>3132</v>
      </c>
      <c r="I470" s="144">
        <v>1837410</v>
      </c>
      <c r="J470" s="144"/>
      <c r="K470" s="144"/>
      <c r="L470" s="471">
        <v>1837410</v>
      </c>
      <c r="M470" s="144"/>
      <c r="N470" s="408"/>
      <c r="O470" s="408"/>
      <c r="P470" s="408"/>
      <c r="Q470" s="408"/>
      <c r="R470" s="408"/>
      <c r="S470" s="408">
        <v>24874</v>
      </c>
      <c r="T470" s="408">
        <f>551223-24874</f>
        <v>526349</v>
      </c>
      <c r="U470" s="408">
        <f>443100-443100</f>
        <v>0</v>
      </c>
      <c r="V470" s="408">
        <f>100000-100000</f>
        <v>0</v>
      </c>
      <c r="W470" s="408">
        <f>200000+60000</f>
        <v>260000</v>
      </c>
      <c r="X470" s="408">
        <f>543087-19987</f>
        <v>523100</v>
      </c>
      <c r="Y470" s="408">
        <v>503087</v>
      </c>
      <c r="Z470" s="408">
        <f>7462+17411.34+792</f>
        <v>25665.34</v>
      </c>
      <c r="AA470" s="408">
        <f t="shared" si="57"/>
        <v>525557.66</v>
      </c>
    </row>
    <row r="471" spans="1:27" ht="31.5">
      <c r="A471" s="557"/>
      <c r="B471" s="512"/>
      <c r="C471" s="167"/>
      <c r="D471" s="13" t="s">
        <v>942</v>
      </c>
      <c r="E471" s="142"/>
      <c r="F471" s="143"/>
      <c r="G471" s="142"/>
      <c r="H471" s="418">
        <v>3132</v>
      </c>
      <c r="I471" s="144">
        <v>380000</v>
      </c>
      <c r="J471" s="144"/>
      <c r="K471" s="144"/>
      <c r="L471" s="471">
        <v>380000</v>
      </c>
      <c r="M471" s="144"/>
      <c r="N471" s="408"/>
      <c r="O471" s="408"/>
      <c r="P471" s="408"/>
      <c r="Q471" s="408"/>
      <c r="R471" s="408">
        <v>114000</v>
      </c>
      <c r="S471" s="408">
        <v>233000</v>
      </c>
      <c r="T471" s="408">
        <v>33000</v>
      </c>
      <c r="U471" s="408"/>
      <c r="V471" s="408"/>
      <c r="W471" s="408"/>
      <c r="X471" s="408"/>
      <c r="Y471" s="408"/>
      <c r="Z471" s="408">
        <f>111971.1+61219.9+138850.9</f>
        <v>312041.9</v>
      </c>
      <c r="AA471" s="408">
        <f t="shared" si="57"/>
        <v>67958.1</v>
      </c>
    </row>
    <row r="472" spans="1:27" s="45" customFormat="1" ht="31.5">
      <c r="A472" s="560"/>
      <c r="B472" s="516"/>
      <c r="C472" s="167"/>
      <c r="D472" s="13" t="s">
        <v>807</v>
      </c>
      <c r="E472" s="142"/>
      <c r="F472" s="143"/>
      <c r="G472" s="142"/>
      <c r="H472" s="418">
        <v>3132</v>
      </c>
      <c r="I472" s="144">
        <v>257000</v>
      </c>
      <c r="J472" s="144"/>
      <c r="K472" s="144"/>
      <c r="L472" s="471">
        <v>257000</v>
      </c>
      <c r="M472" s="144"/>
      <c r="N472" s="408"/>
      <c r="O472" s="408"/>
      <c r="P472" s="408"/>
      <c r="Q472" s="408"/>
      <c r="R472" s="408">
        <v>77100</v>
      </c>
      <c r="S472" s="408">
        <f>90000-24874</f>
        <v>65126</v>
      </c>
      <c r="T472" s="408">
        <f>89900+24874</f>
        <v>114774</v>
      </c>
      <c r="U472" s="408"/>
      <c r="V472" s="408"/>
      <c r="W472" s="408"/>
      <c r="X472" s="408"/>
      <c r="Y472" s="408"/>
      <c r="Z472" s="408">
        <f>75743.4+25736.6</f>
        <v>101480</v>
      </c>
      <c r="AA472" s="408">
        <f t="shared" si="57"/>
        <v>155520</v>
      </c>
    </row>
    <row r="473" spans="1:27" s="30" customFormat="1" ht="15.75">
      <c r="A473" s="556" t="s">
        <v>699</v>
      </c>
      <c r="B473" s="538" t="s">
        <v>808</v>
      </c>
      <c r="C473" s="227"/>
      <c r="D473" s="249" t="s">
        <v>1597</v>
      </c>
      <c r="E473" s="137"/>
      <c r="F473" s="138"/>
      <c r="G473" s="137"/>
      <c r="H473" s="417"/>
      <c r="I473" s="397">
        <f>SUM(I474:I475)</f>
        <v>119528.2</v>
      </c>
      <c r="J473" s="397">
        <f aca="true" t="shared" si="58" ref="J473:O473">SUM(J474:J475)</f>
        <v>0</v>
      </c>
      <c r="K473" s="397">
        <f t="shared" si="58"/>
        <v>0</v>
      </c>
      <c r="L473" s="397">
        <f t="shared" si="58"/>
        <v>119528.2</v>
      </c>
      <c r="M473" s="397">
        <f t="shared" si="58"/>
        <v>0</v>
      </c>
      <c r="N473" s="397">
        <f t="shared" si="58"/>
        <v>0</v>
      </c>
      <c r="O473" s="397">
        <f t="shared" si="58"/>
        <v>0</v>
      </c>
      <c r="P473" s="397">
        <f aca="true" t="shared" si="59" ref="P473:Z473">SUM(P474:P475)</f>
        <v>0</v>
      </c>
      <c r="Q473" s="397">
        <f t="shared" si="59"/>
        <v>0</v>
      </c>
      <c r="R473" s="397">
        <f t="shared" si="59"/>
        <v>18540</v>
      </c>
      <c r="S473" s="397">
        <f t="shared" si="59"/>
        <v>3120</v>
      </c>
      <c r="T473" s="397">
        <f t="shared" si="59"/>
        <v>7250</v>
      </c>
      <c r="U473" s="397">
        <f t="shared" si="59"/>
        <v>0</v>
      </c>
      <c r="V473" s="397">
        <f t="shared" si="59"/>
        <v>0</v>
      </c>
      <c r="W473" s="397">
        <f t="shared" si="59"/>
        <v>0</v>
      </c>
      <c r="X473" s="397">
        <f t="shared" si="59"/>
        <v>90618.2</v>
      </c>
      <c r="Y473" s="397">
        <f t="shared" si="59"/>
        <v>0</v>
      </c>
      <c r="Z473" s="397">
        <f t="shared" si="59"/>
        <v>26077.63</v>
      </c>
      <c r="AA473" s="408">
        <f t="shared" si="57"/>
        <v>2832.37</v>
      </c>
    </row>
    <row r="474" spans="1:27" s="45" customFormat="1" ht="47.25">
      <c r="A474" s="557"/>
      <c r="B474" s="512"/>
      <c r="C474" s="167"/>
      <c r="D474" s="13" t="s">
        <v>501</v>
      </c>
      <c r="E474" s="142"/>
      <c r="F474" s="143"/>
      <c r="G474" s="142"/>
      <c r="H474" s="418">
        <v>3132</v>
      </c>
      <c r="I474" s="144">
        <v>90618.2</v>
      </c>
      <c r="J474" s="144"/>
      <c r="K474" s="144"/>
      <c r="L474" s="471">
        <v>90618.2</v>
      </c>
      <c r="M474" s="144"/>
      <c r="N474" s="408"/>
      <c r="O474" s="408"/>
      <c r="P474" s="408"/>
      <c r="Q474" s="408"/>
      <c r="R474" s="408"/>
      <c r="S474" s="408"/>
      <c r="T474" s="408"/>
      <c r="U474" s="408"/>
      <c r="V474" s="408"/>
      <c r="W474" s="408"/>
      <c r="X474" s="408">
        <v>90618.2</v>
      </c>
      <c r="Y474" s="408"/>
      <c r="Z474" s="408"/>
      <c r="AA474" s="408">
        <f t="shared" si="57"/>
        <v>0</v>
      </c>
    </row>
    <row r="475" spans="1:27" s="45" customFormat="1" ht="47.25">
      <c r="A475" s="560"/>
      <c r="B475" s="516"/>
      <c r="C475" s="167"/>
      <c r="D475" s="13" t="s">
        <v>836</v>
      </c>
      <c r="E475" s="142"/>
      <c r="F475" s="143"/>
      <c r="G475" s="142"/>
      <c r="H475" s="418">
        <v>3132</v>
      </c>
      <c r="I475" s="144">
        <v>28910</v>
      </c>
      <c r="J475" s="144"/>
      <c r="K475" s="144"/>
      <c r="L475" s="471">
        <v>28910</v>
      </c>
      <c r="M475" s="144"/>
      <c r="N475" s="408"/>
      <c r="O475" s="408"/>
      <c r="P475" s="408"/>
      <c r="Q475" s="408">
        <f>5560-5560</f>
        <v>0</v>
      </c>
      <c r="R475" s="408">
        <f>12980+5560</f>
        <v>18540</v>
      </c>
      <c r="S475" s="408">
        <v>3120</v>
      </c>
      <c r="T475" s="408">
        <v>7250</v>
      </c>
      <c r="U475" s="408"/>
      <c r="V475" s="408"/>
      <c r="W475" s="408"/>
      <c r="X475" s="408"/>
      <c r="Y475" s="408"/>
      <c r="Z475" s="408">
        <f>396+8113+17568.63</f>
        <v>26077.63</v>
      </c>
      <c r="AA475" s="408">
        <f t="shared" si="57"/>
        <v>2832.37</v>
      </c>
    </row>
    <row r="476" spans="1:61" s="54" customFormat="1" ht="15.75" customHeight="1">
      <c r="A476" s="556" t="s">
        <v>980</v>
      </c>
      <c r="B476" s="538" t="s">
        <v>1117</v>
      </c>
      <c r="C476" s="195"/>
      <c r="D476" s="216" t="s">
        <v>1597</v>
      </c>
      <c r="E476" s="137"/>
      <c r="F476" s="159"/>
      <c r="G476" s="137"/>
      <c r="H476" s="417"/>
      <c r="I476" s="139">
        <f>I478+I481+I485+I494+I498+I503+I509+I510+I511+I517+I523+I524+I525+I526+I527+I528+I529+I530+I531+I536</f>
        <v>11147347.81</v>
      </c>
      <c r="J476" s="139">
        <f>J478+J481+J485+J494+J498+J503+J509+J510+J511+J517+J523+J524+J525+J526+J527+J528+J529+J530+J531+J536</f>
        <v>0</v>
      </c>
      <c r="K476" s="139">
        <f>K478+K481+K485+K494+K498+K503+K509+K510+K511+K517+K523+K524+K525+K526+K527+K528+K529+K530+K531+K536</f>
        <v>0</v>
      </c>
      <c r="L476" s="139">
        <f>L478+L481+L485+L494+L498+L503+L509+L510+L511+L517+L523+L524+L525+L526+L527+L528+L529+L530+L531+L536</f>
        <v>11147347.81</v>
      </c>
      <c r="M476" s="139">
        <f>M478+M481+M485+M494+M498+M503+M509+M510+M511+M517+M523+M524+M525+M526+M527+M528+M529+M530+M531+M536</f>
        <v>0</v>
      </c>
      <c r="N476" s="139">
        <f aca="true" t="shared" si="60" ref="N476:Z476">N478+N481+N485+N494+N498+N503+N509+N510+N511+N517+N523+N524+N525+N526+N527+N528+N529+N530+N531+N536</f>
        <v>0</v>
      </c>
      <c r="O476" s="139">
        <f t="shared" si="60"/>
        <v>4260907.24</v>
      </c>
      <c r="P476" s="139">
        <f t="shared" si="60"/>
        <v>0</v>
      </c>
      <c r="Q476" s="139">
        <f t="shared" si="60"/>
        <v>0</v>
      </c>
      <c r="R476" s="139">
        <f t="shared" si="60"/>
        <v>401730</v>
      </c>
      <c r="S476" s="139">
        <f t="shared" si="60"/>
        <v>1515418</v>
      </c>
      <c r="T476" s="139">
        <f t="shared" si="60"/>
        <v>1166220.57</v>
      </c>
      <c r="U476" s="139">
        <f t="shared" si="60"/>
        <v>1183340</v>
      </c>
      <c r="V476" s="139">
        <f t="shared" si="60"/>
        <v>450000</v>
      </c>
      <c r="W476" s="139">
        <f t="shared" si="60"/>
        <v>823000</v>
      </c>
      <c r="X476" s="139">
        <f t="shared" si="60"/>
        <v>1059000</v>
      </c>
      <c r="Y476" s="139">
        <f t="shared" si="60"/>
        <v>287732</v>
      </c>
      <c r="Z476" s="139">
        <f t="shared" si="60"/>
        <v>4633138.94</v>
      </c>
      <c r="AA476" s="408">
        <f t="shared" si="57"/>
        <v>3894476.87</v>
      </c>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c r="BE476" s="45"/>
      <c r="BF476" s="45"/>
      <c r="BG476" s="45"/>
      <c r="BH476" s="45"/>
      <c r="BI476" s="45"/>
    </row>
    <row r="477" spans="1:27" ht="31.5" customHeight="1" hidden="1">
      <c r="A477" s="557"/>
      <c r="B477" s="512"/>
      <c r="C477" s="135" t="s">
        <v>1432</v>
      </c>
      <c r="D477" s="217" t="s">
        <v>1042</v>
      </c>
      <c r="E477" s="142"/>
      <c r="F477" s="143"/>
      <c r="G477" s="142"/>
      <c r="H477" s="418"/>
      <c r="I477" s="144" t="e">
        <f>J477+K477+L477+M477+#REF!+#REF!</f>
        <v>#REF!</v>
      </c>
      <c r="J477" s="144"/>
      <c r="K477" s="144"/>
      <c r="L477" s="144"/>
      <c r="M477" s="144"/>
      <c r="N477" s="408"/>
      <c r="O477" s="408"/>
      <c r="P477" s="408"/>
      <c r="Q477" s="408"/>
      <c r="R477" s="408"/>
      <c r="S477" s="408"/>
      <c r="T477" s="408"/>
      <c r="U477" s="408"/>
      <c r="V477" s="408"/>
      <c r="W477" s="408"/>
      <c r="X477" s="408"/>
      <c r="Y477" s="408"/>
      <c r="Z477" s="408"/>
      <c r="AA477" s="408">
        <f t="shared" si="57"/>
        <v>0</v>
      </c>
    </row>
    <row r="478" spans="1:27" ht="47.25">
      <c r="A478" s="557"/>
      <c r="B478" s="512"/>
      <c r="C478" s="218" t="s">
        <v>1043</v>
      </c>
      <c r="D478" s="217" t="s">
        <v>1044</v>
      </c>
      <c r="E478" s="142"/>
      <c r="F478" s="143"/>
      <c r="G478" s="142"/>
      <c r="H478" s="418">
        <v>3110</v>
      </c>
      <c r="I478" s="144">
        <v>1500000</v>
      </c>
      <c r="J478" s="144"/>
      <c r="K478" s="144"/>
      <c r="L478" s="144">
        <v>1500000</v>
      </c>
      <c r="M478" s="144"/>
      <c r="N478" s="408"/>
      <c r="O478" s="144">
        <v>1500000</v>
      </c>
      <c r="P478" s="408"/>
      <c r="Q478" s="408"/>
      <c r="R478" s="408"/>
      <c r="S478" s="408"/>
      <c r="T478" s="408"/>
      <c r="U478" s="408"/>
      <c r="V478" s="408"/>
      <c r="W478" s="408"/>
      <c r="X478" s="408"/>
      <c r="Y478" s="408"/>
      <c r="Z478" s="144">
        <v>1500000</v>
      </c>
      <c r="AA478" s="408">
        <f t="shared" si="57"/>
        <v>0</v>
      </c>
    </row>
    <row r="479" spans="1:27" ht="31.5" customHeight="1" hidden="1">
      <c r="A479" s="557"/>
      <c r="B479" s="512"/>
      <c r="C479" s="218" t="s">
        <v>1045</v>
      </c>
      <c r="D479" s="217" t="s">
        <v>681</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7"/>
        <v>0</v>
      </c>
    </row>
    <row r="480" spans="1:27" ht="31.5" customHeight="1" hidden="1">
      <c r="A480" s="557"/>
      <c r="B480" s="512"/>
      <c r="C480" s="218" t="s">
        <v>682</v>
      </c>
      <c r="D480" s="217" t="s">
        <v>300</v>
      </c>
      <c r="E480" s="142"/>
      <c r="F480" s="143"/>
      <c r="G480" s="142"/>
      <c r="H480" s="418"/>
      <c r="I480" s="144">
        <v>0</v>
      </c>
      <c r="J480" s="144"/>
      <c r="K480" s="144"/>
      <c r="L480" s="144"/>
      <c r="M480" s="144"/>
      <c r="N480" s="408"/>
      <c r="O480" s="144">
        <v>0</v>
      </c>
      <c r="P480" s="408"/>
      <c r="Q480" s="408"/>
      <c r="R480" s="408"/>
      <c r="S480" s="408"/>
      <c r="T480" s="408"/>
      <c r="U480" s="408"/>
      <c r="V480" s="408"/>
      <c r="W480" s="408"/>
      <c r="X480" s="408"/>
      <c r="Y480" s="408"/>
      <c r="Z480" s="144">
        <v>0</v>
      </c>
      <c r="AA480" s="408">
        <f t="shared" si="57"/>
        <v>0</v>
      </c>
    </row>
    <row r="481" spans="1:27" ht="47.25">
      <c r="A481" s="557"/>
      <c r="B481" s="512"/>
      <c r="C481" s="218" t="s">
        <v>301</v>
      </c>
      <c r="D481" s="217" t="s">
        <v>1332</v>
      </c>
      <c r="E481" s="142"/>
      <c r="F481" s="143"/>
      <c r="G481" s="142"/>
      <c r="H481" s="418">
        <v>3210</v>
      </c>
      <c r="I481" s="144">
        <v>56439</v>
      </c>
      <c r="J481" s="144"/>
      <c r="K481" s="144"/>
      <c r="L481" s="144">
        <v>56439</v>
      </c>
      <c r="M481" s="144"/>
      <c r="N481" s="408"/>
      <c r="O481" s="144">
        <v>56439</v>
      </c>
      <c r="P481" s="408"/>
      <c r="Q481" s="408"/>
      <c r="R481" s="408"/>
      <c r="S481" s="408"/>
      <c r="T481" s="408"/>
      <c r="U481" s="408"/>
      <c r="V481" s="408"/>
      <c r="W481" s="408"/>
      <c r="X481" s="408"/>
      <c r="Y481" s="408"/>
      <c r="Z481" s="144">
        <v>56439</v>
      </c>
      <c r="AA481" s="408">
        <f t="shared" si="57"/>
        <v>0</v>
      </c>
    </row>
    <row r="482" spans="1:27" ht="31.5" customHeight="1" hidden="1">
      <c r="A482" s="557"/>
      <c r="B482" s="512"/>
      <c r="C482" s="218" t="s">
        <v>1001</v>
      </c>
      <c r="D482" s="217" t="s">
        <v>1002</v>
      </c>
      <c r="E482" s="142"/>
      <c r="F482" s="143"/>
      <c r="G482" s="142"/>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7"/>
        <v>0</v>
      </c>
    </row>
    <row r="483" spans="1:27" ht="31.5" customHeight="1" hidden="1">
      <c r="A483" s="557"/>
      <c r="B483" s="512"/>
      <c r="C483" s="218" t="s">
        <v>1003</v>
      </c>
      <c r="D483" s="217" t="s">
        <v>1004</v>
      </c>
      <c r="E483" s="142">
        <v>70</v>
      </c>
      <c r="F483" s="143">
        <f>100%-((E483-G483)/E483)</f>
        <v>1</v>
      </c>
      <c r="G483" s="142">
        <v>70</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7"/>
        <v>0</v>
      </c>
    </row>
    <row r="484" spans="1:27" ht="47.25" customHeight="1" hidden="1">
      <c r="A484" s="557"/>
      <c r="B484" s="512"/>
      <c r="C484" s="167" t="s">
        <v>1005</v>
      </c>
      <c r="D484" s="217" t="s">
        <v>1507</v>
      </c>
      <c r="E484" s="142">
        <v>926</v>
      </c>
      <c r="F484" s="143">
        <f>100%-((E484-G484)/E484)</f>
        <v>1</v>
      </c>
      <c r="G484" s="142">
        <v>926</v>
      </c>
      <c r="H484" s="418"/>
      <c r="I484" s="144">
        <v>0</v>
      </c>
      <c r="J484" s="144"/>
      <c r="K484" s="144"/>
      <c r="L484" s="144"/>
      <c r="M484" s="144"/>
      <c r="N484" s="408"/>
      <c r="O484" s="144">
        <v>0</v>
      </c>
      <c r="P484" s="408"/>
      <c r="Q484" s="408"/>
      <c r="R484" s="408"/>
      <c r="S484" s="408"/>
      <c r="T484" s="408"/>
      <c r="U484" s="408"/>
      <c r="V484" s="408"/>
      <c r="W484" s="408"/>
      <c r="X484" s="408"/>
      <c r="Y484" s="408"/>
      <c r="Z484" s="144">
        <v>0</v>
      </c>
      <c r="AA484" s="408">
        <f t="shared" si="57"/>
        <v>0</v>
      </c>
    </row>
    <row r="485" spans="1:27" ht="47.25">
      <c r="A485" s="557"/>
      <c r="B485" s="512"/>
      <c r="C485" s="167" t="s">
        <v>1508</v>
      </c>
      <c r="D485" s="217" t="s">
        <v>1509</v>
      </c>
      <c r="E485" s="142"/>
      <c r="F485" s="143"/>
      <c r="G485" s="142"/>
      <c r="H485" s="418">
        <v>3110</v>
      </c>
      <c r="I485" s="144">
        <v>129478</v>
      </c>
      <c r="J485" s="144"/>
      <c r="K485" s="144"/>
      <c r="L485" s="144">
        <v>129478</v>
      </c>
      <c r="M485" s="144"/>
      <c r="N485" s="408"/>
      <c r="O485" s="144">
        <v>129478</v>
      </c>
      <c r="P485" s="408"/>
      <c r="Q485" s="408"/>
      <c r="R485" s="408"/>
      <c r="S485" s="408"/>
      <c r="T485" s="408"/>
      <c r="U485" s="408"/>
      <c r="V485" s="408"/>
      <c r="W485" s="408"/>
      <c r="X485" s="408"/>
      <c r="Y485" s="408"/>
      <c r="Z485" s="144">
        <v>129478</v>
      </c>
      <c r="AA485" s="408">
        <f t="shared" si="57"/>
        <v>0</v>
      </c>
    </row>
    <row r="486" spans="1:27" ht="31.5" customHeight="1" hidden="1">
      <c r="A486" s="557"/>
      <c r="B486" s="512"/>
      <c r="C486" s="167" t="s">
        <v>1037</v>
      </c>
      <c r="D486" s="217" t="s">
        <v>605</v>
      </c>
      <c r="E486" s="142"/>
      <c r="F486" s="143"/>
      <c r="G486" s="142"/>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7"/>
        <v>0</v>
      </c>
    </row>
    <row r="487" spans="1:27" ht="31.5" customHeight="1" hidden="1">
      <c r="A487" s="557"/>
      <c r="B487" s="512"/>
      <c r="C487" s="167" t="s">
        <v>606</v>
      </c>
      <c r="D487" s="217" t="s">
        <v>607</v>
      </c>
      <c r="E487" s="142">
        <v>403.36</v>
      </c>
      <c r="F487" s="143">
        <f>100%-((E487-G487)/E487)</f>
        <v>0.241</v>
      </c>
      <c r="G487" s="142">
        <v>97.2</v>
      </c>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7"/>
        <v>0</v>
      </c>
    </row>
    <row r="488" spans="1:27" ht="31.5" customHeight="1" hidden="1">
      <c r="A488" s="557"/>
      <c r="B488" s="512"/>
      <c r="C488" s="167" t="s">
        <v>608</v>
      </c>
      <c r="D488" s="217" t="s">
        <v>609</v>
      </c>
      <c r="E488" s="142"/>
      <c r="F488" s="143"/>
      <c r="G488" s="142"/>
      <c r="H488" s="418"/>
      <c r="I488" s="144">
        <v>0</v>
      </c>
      <c r="J488" s="144"/>
      <c r="K488" s="144"/>
      <c r="L488" s="144"/>
      <c r="M488" s="144"/>
      <c r="N488" s="408"/>
      <c r="O488" s="144">
        <v>0</v>
      </c>
      <c r="P488" s="408"/>
      <c r="Q488" s="408"/>
      <c r="R488" s="408"/>
      <c r="S488" s="408"/>
      <c r="T488" s="408"/>
      <c r="U488" s="408"/>
      <c r="V488" s="408"/>
      <c r="W488" s="408"/>
      <c r="X488" s="408"/>
      <c r="Y488" s="408"/>
      <c r="Z488" s="144">
        <v>0</v>
      </c>
      <c r="AA488" s="408">
        <f t="shared" si="57"/>
        <v>0</v>
      </c>
    </row>
    <row r="489" spans="1:27" ht="15.75" customHeight="1" hidden="1">
      <c r="A489" s="557"/>
      <c r="B489" s="512"/>
      <c r="C489" s="501" t="s">
        <v>610</v>
      </c>
      <c r="D489" s="141" t="s">
        <v>64</v>
      </c>
      <c r="E489" s="142"/>
      <c r="F489" s="143"/>
      <c r="G489" s="142"/>
      <c r="H489" s="418"/>
      <c r="I489" s="144">
        <v>0</v>
      </c>
      <c r="J489" s="144">
        <f>J490+J491</f>
        <v>0</v>
      </c>
      <c r="K489" s="144">
        <f>K490+K491</f>
        <v>0</v>
      </c>
      <c r="L489" s="144">
        <f>L490+L491</f>
        <v>0</v>
      </c>
      <c r="M489" s="144">
        <f>M490+M491</f>
        <v>0</v>
      </c>
      <c r="N489" s="408"/>
      <c r="O489" s="144">
        <v>0</v>
      </c>
      <c r="P489" s="408"/>
      <c r="Q489" s="408"/>
      <c r="R489" s="408"/>
      <c r="S489" s="408"/>
      <c r="T489" s="408"/>
      <c r="U489" s="408"/>
      <c r="V489" s="408"/>
      <c r="W489" s="408"/>
      <c r="X489" s="408"/>
      <c r="Y489" s="408"/>
      <c r="Z489" s="144">
        <v>0</v>
      </c>
      <c r="AA489" s="408">
        <f t="shared" si="57"/>
        <v>0</v>
      </c>
    </row>
    <row r="490" spans="1:27" ht="15.75" customHeight="1" hidden="1">
      <c r="A490" s="557"/>
      <c r="B490" s="512"/>
      <c r="C490" s="502"/>
      <c r="D490" s="198" t="s">
        <v>65</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7"/>
        <v>0</v>
      </c>
    </row>
    <row r="491" spans="1:27" ht="15.75" customHeight="1" hidden="1">
      <c r="A491" s="557"/>
      <c r="B491" s="512"/>
      <c r="C491" s="503"/>
      <c r="D491" s="198" t="s">
        <v>483</v>
      </c>
      <c r="E491" s="199"/>
      <c r="F491" s="143"/>
      <c r="G491" s="199"/>
      <c r="H491" s="424"/>
      <c r="I491" s="201">
        <v>0</v>
      </c>
      <c r="J491" s="201"/>
      <c r="K491" s="201"/>
      <c r="L491" s="201"/>
      <c r="M491" s="201"/>
      <c r="N491" s="408"/>
      <c r="O491" s="201">
        <v>0</v>
      </c>
      <c r="P491" s="408"/>
      <c r="Q491" s="408"/>
      <c r="R491" s="408"/>
      <c r="S491" s="408"/>
      <c r="T491" s="408"/>
      <c r="U491" s="408"/>
      <c r="V491" s="408"/>
      <c r="W491" s="408"/>
      <c r="X491" s="408"/>
      <c r="Y491" s="408"/>
      <c r="Z491" s="201">
        <v>0</v>
      </c>
      <c r="AA491" s="408">
        <f t="shared" si="57"/>
        <v>0</v>
      </c>
    </row>
    <row r="492" spans="1:27" ht="31.5" customHeight="1" hidden="1">
      <c r="A492" s="557"/>
      <c r="B492" s="512"/>
      <c r="C492" s="167" t="s">
        <v>484</v>
      </c>
      <c r="D492" s="141" t="s">
        <v>81</v>
      </c>
      <c r="E492" s="142"/>
      <c r="F492" s="143"/>
      <c r="G492" s="142"/>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7"/>
        <v>0</v>
      </c>
    </row>
    <row r="493" spans="1:27" ht="47.25" customHeight="1" hidden="1">
      <c r="A493" s="557"/>
      <c r="B493" s="512"/>
      <c r="C493" s="167" t="s">
        <v>82</v>
      </c>
      <c r="D493" s="217" t="s">
        <v>1348</v>
      </c>
      <c r="E493" s="142">
        <v>3325.84</v>
      </c>
      <c r="F493" s="143">
        <f>100%-((E493-G493)/E493)</f>
        <v>0.925</v>
      </c>
      <c r="G493" s="142">
        <v>3075.24</v>
      </c>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57"/>
        <v>0</v>
      </c>
    </row>
    <row r="494" spans="1:27" ht="31.5">
      <c r="A494" s="557"/>
      <c r="B494" s="512"/>
      <c r="C494" s="501" t="s">
        <v>1349</v>
      </c>
      <c r="D494" s="217" t="s">
        <v>1350</v>
      </c>
      <c r="E494" s="142"/>
      <c r="F494" s="143"/>
      <c r="G494" s="142"/>
      <c r="H494" s="418"/>
      <c r="I494" s="144">
        <f>I495+I496+I497</f>
        <v>185562</v>
      </c>
      <c r="J494" s="144">
        <f>J495+J496+J497</f>
        <v>0</v>
      </c>
      <c r="K494" s="144">
        <f>K495+K496+K497</f>
        <v>0</v>
      </c>
      <c r="L494" s="144">
        <f>L495+L496+L497</f>
        <v>185562</v>
      </c>
      <c r="M494" s="144">
        <f>M495+M496+M497</f>
        <v>0</v>
      </c>
      <c r="N494" s="408"/>
      <c r="O494" s="144">
        <f aca="true" t="shared" si="61" ref="O494:T494">O495+O496+O497</f>
        <v>185562</v>
      </c>
      <c r="P494" s="144">
        <f t="shared" si="61"/>
        <v>0</v>
      </c>
      <c r="Q494" s="144">
        <f t="shared" si="61"/>
        <v>0</v>
      </c>
      <c r="R494" s="144">
        <f t="shared" si="61"/>
        <v>-155123.24</v>
      </c>
      <c r="S494" s="144">
        <f t="shared" si="61"/>
        <v>154271.24</v>
      </c>
      <c r="T494" s="144">
        <f t="shared" si="61"/>
        <v>852</v>
      </c>
      <c r="U494" s="408"/>
      <c r="V494" s="408"/>
      <c r="W494" s="408"/>
      <c r="X494" s="408"/>
      <c r="Y494" s="408"/>
      <c r="Z494" s="144">
        <f>Z495+Z496+Z497</f>
        <v>0</v>
      </c>
      <c r="AA494" s="408">
        <f t="shared" si="57"/>
        <v>185562</v>
      </c>
    </row>
    <row r="495" spans="1:27" ht="31.5">
      <c r="A495" s="557"/>
      <c r="B495" s="512"/>
      <c r="C495" s="502"/>
      <c r="D495" s="60" t="s">
        <v>1351</v>
      </c>
      <c r="E495" s="199"/>
      <c r="F495" s="143"/>
      <c r="G495" s="199"/>
      <c r="H495" s="418">
        <v>3110</v>
      </c>
      <c r="I495" s="201">
        <v>88320</v>
      </c>
      <c r="J495" s="201"/>
      <c r="K495" s="201"/>
      <c r="L495" s="201">
        <v>88320</v>
      </c>
      <c r="M495" s="144"/>
      <c r="N495" s="408"/>
      <c r="O495" s="201">
        <v>88320</v>
      </c>
      <c r="P495" s="408"/>
      <c r="Q495" s="408"/>
      <c r="R495" s="408">
        <v>-57881.24</v>
      </c>
      <c r="S495" s="408">
        <v>57881.24</v>
      </c>
      <c r="T495" s="408"/>
      <c r="U495" s="408"/>
      <c r="V495" s="408"/>
      <c r="W495" s="408"/>
      <c r="X495" s="408"/>
      <c r="Y495" s="408"/>
      <c r="Z495" s="201"/>
      <c r="AA495" s="408">
        <f t="shared" si="57"/>
        <v>88320</v>
      </c>
    </row>
    <row r="496" spans="1:27" ht="15.75">
      <c r="A496" s="557"/>
      <c r="B496" s="512"/>
      <c r="C496" s="502"/>
      <c r="D496" s="60" t="s">
        <v>1352</v>
      </c>
      <c r="E496" s="199"/>
      <c r="F496" s="143"/>
      <c r="G496" s="199"/>
      <c r="H496" s="418">
        <v>3110</v>
      </c>
      <c r="I496" s="201">
        <v>84900</v>
      </c>
      <c r="J496" s="201"/>
      <c r="K496" s="201"/>
      <c r="L496" s="201">
        <v>84900</v>
      </c>
      <c r="M496" s="144"/>
      <c r="N496" s="408"/>
      <c r="O496" s="201">
        <v>84900</v>
      </c>
      <c r="P496" s="408"/>
      <c r="Q496" s="408"/>
      <c r="R496" s="408">
        <v>-84900</v>
      </c>
      <c r="S496" s="408">
        <v>84900</v>
      </c>
      <c r="T496" s="408"/>
      <c r="U496" s="408"/>
      <c r="V496" s="408"/>
      <c r="W496" s="408"/>
      <c r="X496" s="408"/>
      <c r="Y496" s="408"/>
      <c r="Z496" s="201"/>
      <c r="AA496" s="408">
        <f t="shared" si="57"/>
        <v>84900</v>
      </c>
    </row>
    <row r="497" spans="1:27" ht="15.75">
      <c r="A497" s="557"/>
      <c r="B497" s="512"/>
      <c r="C497" s="503"/>
      <c r="D497" s="60" t="s">
        <v>1353</v>
      </c>
      <c r="E497" s="199"/>
      <c r="F497" s="143"/>
      <c r="G497" s="199"/>
      <c r="H497" s="418">
        <v>3110</v>
      </c>
      <c r="I497" s="201">
        <v>12342</v>
      </c>
      <c r="J497" s="201"/>
      <c r="K497" s="201"/>
      <c r="L497" s="201">
        <v>12342</v>
      </c>
      <c r="M497" s="144"/>
      <c r="N497" s="408"/>
      <c r="O497" s="201">
        <v>12342</v>
      </c>
      <c r="P497" s="408"/>
      <c r="Q497" s="408"/>
      <c r="R497" s="408">
        <f>-852-11490</f>
        <v>-12342</v>
      </c>
      <c r="S497" s="408">
        <v>11490</v>
      </c>
      <c r="T497" s="408">
        <v>852</v>
      </c>
      <c r="U497" s="408"/>
      <c r="V497" s="408"/>
      <c r="W497" s="408"/>
      <c r="X497" s="408"/>
      <c r="Y497" s="408"/>
      <c r="Z497" s="201"/>
      <c r="AA497" s="408">
        <f t="shared" si="57"/>
        <v>12342</v>
      </c>
    </row>
    <row r="498" spans="1:27" ht="31.5">
      <c r="A498" s="557"/>
      <c r="B498" s="512"/>
      <c r="C498" s="205" t="s">
        <v>1354</v>
      </c>
      <c r="D498" s="217" t="s">
        <v>1355</v>
      </c>
      <c r="E498" s="142">
        <v>270.96</v>
      </c>
      <c r="F498" s="143">
        <f>100%-((E498-G498)/E498)</f>
        <v>0.413</v>
      </c>
      <c r="G498" s="142">
        <v>112</v>
      </c>
      <c r="H498" s="418">
        <v>3132</v>
      </c>
      <c r="I498" s="144">
        <v>3070.2</v>
      </c>
      <c r="J498" s="144"/>
      <c r="K498" s="144"/>
      <c r="L498" s="144">
        <v>3070.2</v>
      </c>
      <c r="M498" s="144"/>
      <c r="N498" s="408"/>
      <c r="O498" s="144">
        <v>3070.2</v>
      </c>
      <c r="P498" s="408"/>
      <c r="Q498" s="408"/>
      <c r="R498" s="408"/>
      <c r="S498" s="408"/>
      <c r="T498" s="408"/>
      <c r="U498" s="408"/>
      <c r="V498" s="408"/>
      <c r="W498" s="408"/>
      <c r="X498" s="408"/>
      <c r="Y498" s="408"/>
      <c r="Z498" s="144">
        <v>3070.2</v>
      </c>
      <c r="AA498" s="408">
        <f t="shared" si="57"/>
        <v>0</v>
      </c>
    </row>
    <row r="499" spans="1:27" ht="15.75" customHeight="1" hidden="1">
      <c r="A499" s="557"/>
      <c r="B499" s="512"/>
      <c r="C499" s="501" t="s">
        <v>1356</v>
      </c>
      <c r="D499" s="217" t="s">
        <v>1357</v>
      </c>
      <c r="E499" s="142"/>
      <c r="F499" s="143"/>
      <c r="G499" s="142"/>
      <c r="H499" s="418"/>
      <c r="I499" s="144">
        <v>0</v>
      </c>
      <c r="J499" s="144">
        <f>SUM(J500:J502)</f>
        <v>0</v>
      </c>
      <c r="K499" s="144">
        <f>SUM(K500:K502)</f>
        <v>0</v>
      </c>
      <c r="L499" s="144">
        <f>SUM(L500:L502)</f>
        <v>0</v>
      </c>
      <c r="M499" s="144">
        <f>SUM(M500:M502)</f>
        <v>0</v>
      </c>
      <c r="N499" s="408"/>
      <c r="O499" s="144">
        <v>0</v>
      </c>
      <c r="P499" s="408"/>
      <c r="Q499" s="408"/>
      <c r="R499" s="408"/>
      <c r="S499" s="408"/>
      <c r="T499" s="408"/>
      <c r="U499" s="408"/>
      <c r="V499" s="408"/>
      <c r="W499" s="408"/>
      <c r="X499" s="408"/>
      <c r="Y499" s="408"/>
      <c r="Z499" s="144">
        <v>0</v>
      </c>
      <c r="AA499" s="408">
        <f t="shared" si="57"/>
        <v>0</v>
      </c>
    </row>
    <row r="500" spans="1:27" ht="15.75" customHeight="1" hidden="1">
      <c r="A500" s="557"/>
      <c r="B500" s="512"/>
      <c r="C500" s="502"/>
      <c r="D500" s="251" t="s">
        <v>1325</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7"/>
        <v>0</v>
      </c>
    </row>
    <row r="501" spans="1:27" ht="15.75" customHeight="1" hidden="1">
      <c r="A501" s="557"/>
      <c r="B501" s="512"/>
      <c r="C501" s="502"/>
      <c r="D501" s="251" t="s">
        <v>1326</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7"/>
        <v>0</v>
      </c>
    </row>
    <row r="502" spans="1:27" ht="15.75" customHeight="1" hidden="1">
      <c r="A502" s="557"/>
      <c r="B502" s="512"/>
      <c r="C502" s="503"/>
      <c r="D502" s="251" t="s">
        <v>1327</v>
      </c>
      <c r="E502" s="199"/>
      <c r="F502" s="143"/>
      <c r="G502" s="199"/>
      <c r="H502" s="424"/>
      <c r="I502" s="201">
        <v>0</v>
      </c>
      <c r="J502" s="201"/>
      <c r="K502" s="201"/>
      <c r="L502" s="201"/>
      <c r="M502" s="201"/>
      <c r="N502" s="408"/>
      <c r="O502" s="201">
        <v>0</v>
      </c>
      <c r="P502" s="408"/>
      <c r="Q502" s="408"/>
      <c r="R502" s="408"/>
      <c r="S502" s="408"/>
      <c r="T502" s="408"/>
      <c r="U502" s="408"/>
      <c r="V502" s="408"/>
      <c r="W502" s="408"/>
      <c r="X502" s="408"/>
      <c r="Y502" s="408"/>
      <c r="Z502" s="201">
        <v>0</v>
      </c>
      <c r="AA502" s="408">
        <f t="shared" si="57"/>
        <v>0</v>
      </c>
    </row>
    <row r="503" spans="1:27" ht="15.75">
      <c r="A503" s="557"/>
      <c r="B503" s="512"/>
      <c r="C503" s="501" t="s">
        <v>1328</v>
      </c>
      <c r="D503" s="217" t="s">
        <v>1323</v>
      </c>
      <c r="E503" s="142"/>
      <c r="F503" s="143"/>
      <c r="G503" s="142"/>
      <c r="H503" s="418"/>
      <c r="I503" s="144">
        <f>I504+I505+I506+I507</f>
        <v>2380000</v>
      </c>
      <c r="J503" s="144">
        <f>J504+J505+J506+J507</f>
        <v>0</v>
      </c>
      <c r="K503" s="144">
        <f>K504+K505+K506+K507</f>
        <v>0</v>
      </c>
      <c r="L503" s="144">
        <f>L504+L505+L506+L507</f>
        <v>2380000</v>
      </c>
      <c r="M503" s="144">
        <f>M504+M505+M506+M507</f>
        <v>0</v>
      </c>
      <c r="N503" s="408"/>
      <c r="O503" s="144">
        <f>O504+O505+O506+O507</f>
        <v>2380000</v>
      </c>
      <c r="P503" s="408"/>
      <c r="Q503" s="408"/>
      <c r="R503" s="408"/>
      <c r="S503" s="408"/>
      <c r="T503" s="408"/>
      <c r="U503" s="408"/>
      <c r="V503" s="408"/>
      <c r="W503" s="408"/>
      <c r="X503" s="408"/>
      <c r="Y503" s="408"/>
      <c r="Z503" s="144">
        <f>Z504+Z505+Z506+Z507</f>
        <v>2380000</v>
      </c>
      <c r="AA503" s="408">
        <f t="shared" si="57"/>
        <v>0</v>
      </c>
    </row>
    <row r="504" spans="1:27" ht="31.5">
      <c r="A504" s="557"/>
      <c r="B504" s="512"/>
      <c r="C504" s="502"/>
      <c r="D504" s="347" t="s">
        <v>502</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7"/>
        <v>0</v>
      </c>
    </row>
    <row r="505" spans="1:27" ht="31.5">
      <c r="A505" s="557"/>
      <c r="B505" s="512"/>
      <c r="C505" s="502"/>
      <c r="D505" s="347" t="s">
        <v>503</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7"/>
        <v>0</v>
      </c>
    </row>
    <row r="506" spans="1:27" ht="31.5">
      <c r="A506" s="557"/>
      <c r="B506" s="512"/>
      <c r="C506" s="502"/>
      <c r="D506" s="347" t="s">
        <v>504</v>
      </c>
      <c r="E506" s="199"/>
      <c r="F506" s="143"/>
      <c r="G506" s="199"/>
      <c r="H506" s="418">
        <v>3110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7"/>
        <v>0</v>
      </c>
    </row>
    <row r="507" spans="1:27" ht="31.5">
      <c r="A507" s="557"/>
      <c r="B507" s="512"/>
      <c r="C507" s="503"/>
      <c r="D507" s="347" t="s">
        <v>155</v>
      </c>
      <c r="E507" s="199"/>
      <c r="F507" s="143"/>
      <c r="G507" s="199"/>
      <c r="H507" s="418">
        <v>3210</v>
      </c>
      <c r="I507" s="201">
        <v>595000</v>
      </c>
      <c r="J507" s="201"/>
      <c r="K507" s="201"/>
      <c r="L507" s="201">
        <v>595000</v>
      </c>
      <c r="M507" s="201"/>
      <c r="N507" s="408"/>
      <c r="O507" s="201">
        <v>595000</v>
      </c>
      <c r="P507" s="408"/>
      <c r="Q507" s="408"/>
      <c r="R507" s="408"/>
      <c r="S507" s="408"/>
      <c r="T507" s="408"/>
      <c r="U507" s="408"/>
      <c r="V507" s="408"/>
      <c r="W507" s="408"/>
      <c r="X507" s="408"/>
      <c r="Y507" s="408"/>
      <c r="Z507" s="201">
        <v>595000</v>
      </c>
      <c r="AA507" s="408">
        <f t="shared" si="57"/>
        <v>0</v>
      </c>
    </row>
    <row r="508" spans="1:27" ht="48.75" customHeight="1" hidden="1">
      <c r="A508" s="557"/>
      <c r="B508" s="512"/>
      <c r="C508" s="205" t="s">
        <v>505</v>
      </c>
      <c r="D508" s="61" t="s">
        <v>506</v>
      </c>
      <c r="E508" s="142">
        <v>1040.892</v>
      </c>
      <c r="F508" s="143">
        <f>100%-((E508-G508)/E508)</f>
        <v>1</v>
      </c>
      <c r="G508" s="142">
        <v>1040.892</v>
      </c>
      <c r="H508" s="418">
        <v>3110</v>
      </c>
      <c r="I508" s="144">
        <v>0</v>
      </c>
      <c r="J508" s="201"/>
      <c r="K508" s="201"/>
      <c r="L508" s="144"/>
      <c r="M508" s="201"/>
      <c r="N508" s="408"/>
      <c r="O508" s="144">
        <v>0</v>
      </c>
      <c r="P508" s="408"/>
      <c r="Q508" s="408"/>
      <c r="R508" s="408"/>
      <c r="S508" s="408"/>
      <c r="T508" s="408"/>
      <c r="U508" s="408"/>
      <c r="V508" s="408"/>
      <c r="W508" s="408"/>
      <c r="X508" s="408"/>
      <c r="Y508" s="408"/>
      <c r="Z508" s="144">
        <v>0</v>
      </c>
      <c r="AA508" s="408">
        <f t="shared" si="57"/>
        <v>0</v>
      </c>
    </row>
    <row r="509" spans="1:27" ht="31.5">
      <c r="A509" s="557"/>
      <c r="B509" s="512"/>
      <c r="C509" s="205"/>
      <c r="D509" s="217" t="s">
        <v>507</v>
      </c>
      <c r="E509" s="199"/>
      <c r="F509" s="143"/>
      <c r="G509" s="199"/>
      <c r="H509" s="418">
        <v>3132</v>
      </c>
      <c r="I509" s="144">
        <v>6358.04</v>
      </c>
      <c r="J509" s="201"/>
      <c r="K509" s="201"/>
      <c r="L509" s="144">
        <v>6358.04</v>
      </c>
      <c r="M509" s="201"/>
      <c r="N509" s="408"/>
      <c r="O509" s="144">
        <v>6358.04</v>
      </c>
      <c r="P509" s="408"/>
      <c r="Q509" s="408"/>
      <c r="R509" s="408"/>
      <c r="S509" s="408"/>
      <c r="T509" s="408"/>
      <c r="U509" s="408"/>
      <c r="V509" s="408"/>
      <c r="W509" s="408"/>
      <c r="X509" s="408"/>
      <c r="Y509" s="408"/>
      <c r="Z509" s="144">
        <v>6358.04</v>
      </c>
      <c r="AA509" s="408">
        <f t="shared" si="57"/>
        <v>0</v>
      </c>
    </row>
    <row r="510" spans="1:27" s="64" customFormat="1" ht="15.75" hidden="1">
      <c r="A510" s="557"/>
      <c r="B510" s="512"/>
      <c r="C510" s="252"/>
      <c r="D510" s="355"/>
      <c r="E510" s="199">
        <v>15.42</v>
      </c>
      <c r="F510" s="143">
        <f>100%-((E510-G510)/E510)</f>
        <v>1</v>
      </c>
      <c r="G510" s="199">
        <v>15.42</v>
      </c>
      <c r="H510" s="418">
        <v>3110</v>
      </c>
      <c r="I510" s="144">
        <v>0</v>
      </c>
      <c r="J510" s="201"/>
      <c r="K510" s="201"/>
      <c r="L510" s="76"/>
      <c r="M510" s="201"/>
      <c r="N510" s="466"/>
      <c r="O510" s="466"/>
      <c r="P510" s="466"/>
      <c r="Q510" s="466"/>
      <c r="R510" s="466"/>
      <c r="S510" s="466"/>
      <c r="T510" s="466"/>
      <c r="U510" s="466"/>
      <c r="V510" s="466"/>
      <c r="W510" s="466"/>
      <c r="X510" s="466"/>
      <c r="Y510" s="466"/>
      <c r="Z510" s="466"/>
      <c r="AA510" s="408">
        <f t="shared" si="57"/>
        <v>0</v>
      </c>
    </row>
    <row r="511" spans="1:27" s="64" customFormat="1" ht="31.5">
      <c r="A511" s="557"/>
      <c r="B511" s="512"/>
      <c r="C511" s="252"/>
      <c r="D511" s="13" t="s">
        <v>509</v>
      </c>
      <c r="E511" s="199">
        <v>53.115</v>
      </c>
      <c r="F511" s="143">
        <f>100%-((E511-G511)/E511)</f>
        <v>1</v>
      </c>
      <c r="G511" s="199">
        <v>53.115</v>
      </c>
      <c r="H511" s="418"/>
      <c r="I511" s="49">
        <f>SUM(I512:I516)</f>
        <v>73500</v>
      </c>
      <c r="J511" s="372">
        <f>SUM(J512:J516)</f>
        <v>0</v>
      </c>
      <c r="K511" s="372">
        <f>SUM(K512:K516)</f>
        <v>0</v>
      </c>
      <c r="L511" s="49">
        <f>SUM(L512:L516)</f>
        <v>73500</v>
      </c>
      <c r="M511" s="49">
        <f aca="true" t="shared" si="62" ref="M511:Y511">SUM(M512:M516)</f>
        <v>0</v>
      </c>
      <c r="N511" s="49">
        <f t="shared" si="62"/>
        <v>0</v>
      </c>
      <c r="O511" s="49">
        <f t="shared" si="62"/>
        <v>0</v>
      </c>
      <c r="P511" s="49">
        <f t="shared" si="62"/>
        <v>0</v>
      </c>
      <c r="Q511" s="49">
        <f t="shared" si="62"/>
        <v>0</v>
      </c>
      <c r="R511" s="49">
        <f t="shared" si="62"/>
        <v>0</v>
      </c>
      <c r="S511" s="49">
        <f t="shared" si="62"/>
        <v>0</v>
      </c>
      <c r="T511" s="49">
        <f t="shared" si="62"/>
        <v>0</v>
      </c>
      <c r="U511" s="49">
        <f t="shared" si="62"/>
        <v>73500</v>
      </c>
      <c r="V511" s="49">
        <f t="shared" si="62"/>
        <v>0</v>
      </c>
      <c r="W511" s="49">
        <f t="shared" si="62"/>
        <v>0</v>
      </c>
      <c r="X511" s="49">
        <f t="shared" si="62"/>
        <v>0</v>
      </c>
      <c r="Y511" s="49">
        <f t="shared" si="62"/>
        <v>0</v>
      </c>
      <c r="Z511" s="466"/>
      <c r="AA511" s="408">
        <f t="shared" si="57"/>
        <v>73500</v>
      </c>
    </row>
    <row r="512" spans="1:61" s="253" customFormat="1" ht="15.75">
      <c r="A512" s="557"/>
      <c r="B512" s="512"/>
      <c r="C512" s="252"/>
      <c r="D512" s="346" t="s">
        <v>508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7"/>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837</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7"/>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1358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7"/>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1110</v>
      </c>
      <c r="E515" s="199"/>
      <c r="F515" s="200"/>
      <c r="G515" s="199"/>
      <c r="H515" s="418">
        <v>3110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7"/>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61" s="253" customFormat="1" ht="15.75">
      <c r="A516" s="557"/>
      <c r="B516" s="512"/>
      <c r="C516" s="252"/>
      <c r="D516" s="346" t="s">
        <v>83</v>
      </c>
      <c r="E516" s="199"/>
      <c r="F516" s="200"/>
      <c r="G516" s="199"/>
      <c r="H516" s="418">
        <v>3210</v>
      </c>
      <c r="I516" s="201">
        <v>14700</v>
      </c>
      <c r="J516" s="201"/>
      <c r="K516" s="201"/>
      <c r="L516" s="470">
        <v>14700</v>
      </c>
      <c r="M516" s="201"/>
      <c r="N516" s="466"/>
      <c r="O516" s="466"/>
      <c r="P516" s="466"/>
      <c r="Q516" s="466"/>
      <c r="R516" s="466"/>
      <c r="S516" s="466"/>
      <c r="T516" s="466"/>
      <c r="U516" s="466">
        <v>14700</v>
      </c>
      <c r="V516" s="466"/>
      <c r="W516" s="466"/>
      <c r="X516" s="466"/>
      <c r="Y516" s="466"/>
      <c r="Z516" s="466"/>
      <c r="AA516" s="408">
        <f t="shared" si="57"/>
        <v>14700</v>
      </c>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row>
    <row r="517" spans="1:27" ht="15.75">
      <c r="A517" s="557"/>
      <c r="B517" s="512"/>
      <c r="C517" s="205"/>
      <c r="D517" s="13" t="s">
        <v>1363</v>
      </c>
      <c r="E517" s="142"/>
      <c r="F517" s="143"/>
      <c r="G517" s="142"/>
      <c r="H517" s="418"/>
      <c r="I517" s="49">
        <f>SUM(I518:I522)</f>
        <v>40000</v>
      </c>
      <c r="J517" s="372">
        <f>SUM(J518:J522)</f>
        <v>0</v>
      </c>
      <c r="K517" s="372">
        <f>SUM(K518:K522)</f>
        <v>0</v>
      </c>
      <c r="L517" s="49">
        <f>SUM(L518:L522)</f>
        <v>40000</v>
      </c>
      <c r="M517" s="49">
        <f aca="true" t="shared" si="63" ref="M517:Y517">SUM(M518:M522)</f>
        <v>0</v>
      </c>
      <c r="N517" s="49">
        <f t="shared" si="63"/>
        <v>0</v>
      </c>
      <c r="O517" s="49">
        <f t="shared" si="63"/>
        <v>0</v>
      </c>
      <c r="P517" s="49">
        <f t="shared" si="63"/>
        <v>0</v>
      </c>
      <c r="Q517" s="49">
        <f t="shared" si="63"/>
        <v>0</v>
      </c>
      <c r="R517" s="49">
        <f t="shared" si="63"/>
        <v>0</v>
      </c>
      <c r="S517" s="49">
        <f t="shared" si="63"/>
        <v>0</v>
      </c>
      <c r="T517" s="49">
        <f t="shared" si="63"/>
        <v>0</v>
      </c>
      <c r="U517" s="49">
        <f t="shared" si="63"/>
        <v>40000</v>
      </c>
      <c r="V517" s="49">
        <f t="shared" si="63"/>
        <v>0</v>
      </c>
      <c r="W517" s="49">
        <f t="shared" si="63"/>
        <v>0</v>
      </c>
      <c r="X517" s="49">
        <f t="shared" si="63"/>
        <v>0</v>
      </c>
      <c r="Y517" s="49">
        <f t="shared" si="63"/>
        <v>0</v>
      </c>
      <c r="Z517" s="408"/>
      <c r="AA517" s="408">
        <f t="shared" si="57"/>
        <v>40000</v>
      </c>
    </row>
    <row r="518" spans="1:61" s="253" customFormat="1" ht="15.75">
      <c r="A518" s="557"/>
      <c r="B518" s="512"/>
      <c r="C518" s="252"/>
      <c r="D518" s="346" t="s">
        <v>508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7"/>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837</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7"/>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1358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7"/>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1110</v>
      </c>
      <c r="E521" s="199"/>
      <c r="F521" s="200"/>
      <c r="G521" s="199"/>
      <c r="H521" s="418">
        <v>3110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7"/>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61" s="253" customFormat="1" ht="15.75">
      <c r="A522" s="557"/>
      <c r="B522" s="512"/>
      <c r="C522" s="252"/>
      <c r="D522" s="346" t="s">
        <v>84</v>
      </c>
      <c r="E522" s="199"/>
      <c r="F522" s="200"/>
      <c r="G522" s="199"/>
      <c r="H522" s="418">
        <v>3210</v>
      </c>
      <c r="I522" s="201">
        <v>8000</v>
      </c>
      <c r="J522" s="201"/>
      <c r="K522" s="201"/>
      <c r="L522" s="470">
        <v>8000</v>
      </c>
      <c r="M522" s="201"/>
      <c r="N522" s="466"/>
      <c r="O522" s="466"/>
      <c r="P522" s="466"/>
      <c r="Q522" s="466"/>
      <c r="R522" s="466"/>
      <c r="S522" s="466"/>
      <c r="T522" s="466"/>
      <c r="U522" s="466">
        <v>8000</v>
      </c>
      <c r="V522" s="466"/>
      <c r="W522" s="466"/>
      <c r="X522" s="466"/>
      <c r="Y522" s="466"/>
      <c r="Z522" s="466"/>
      <c r="AA522" s="408">
        <f t="shared" si="57"/>
        <v>8000</v>
      </c>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row>
    <row r="523" spans="1:27" ht="47.25">
      <c r="A523" s="557"/>
      <c r="B523" s="512"/>
      <c r="C523" s="205"/>
      <c r="D523" s="13" t="s">
        <v>468</v>
      </c>
      <c r="E523" s="199"/>
      <c r="F523" s="200"/>
      <c r="G523" s="199"/>
      <c r="H523" s="418">
        <v>3132</v>
      </c>
      <c r="I523" s="144">
        <v>2980000</v>
      </c>
      <c r="J523" s="201"/>
      <c r="K523" s="201"/>
      <c r="L523" s="471">
        <v>2980000</v>
      </c>
      <c r="M523" s="201"/>
      <c r="N523" s="408"/>
      <c r="O523" s="408"/>
      <c r="P523" s="408"/>
      <c r="Q523" s="408"/>
      <c r="R523" s="408">
        <v>5112</v>
      </c>
      <c r="S523" s="408">
        <f>894000-5112-180512</f>
        <v>708376</v>
      </c>
      <c r="T523" s="408">
        <f>1043000-70100</f>
        <v>972900</v>
      </c>
      <c r="U523" s="408"/>
      <c r="V523" s="408"/>
      <c r="W523" s="408">
        <f>1043000-1043000</f>
        <v>0</v>
      </c>
      <c r="X523" s="408">
        <v>1043000</v>
      </c>
      <c r="Y523" s="408">
        <f>180512+70100</f>
        <v>250612</v>
      </c>
      <c r="Z523" s="408">
        <v>5112</v>
      </c>
      <c r="AA523" s="408">
        <f t="shared" si="57"/>
        <v>1681276</v>
      </c>
    </row>
    <row r="524" spans="1:27" ht="47.25">
      <c r="A524" s="557"/>
      <c r="B524" s="512"/>
      <c r="C524" s="205"/>
      <c r="D524" s="13" t="s">
        <v>469</v>
      </c>
      <c r="E524" s="142"/>
      <c r="F524" s="143"/>
      <c r="G524" s="142"/>
      <c r="H524" s="418">
        <v>3132</v>
      </c>
      <c r="I524" s="144">
        <v>180000</v>
      </c>
      <c r="J524" s="201"/>
      <c r="K524" s="144"/>
      <c r="L524" s="471">
        <v>180000</v>
      </c>
      <c r="M524" s="201"/>
      <c r="N524" s="408"/>
      <c r="O524" s="408"/>
      <c r="P524" s="408"/>
      <c r="Q524" s="408"/>
      <c r="R524" s="408">
        <v>54000</v>
      </c>
      <c r="S524" s="408">
        <v>126000</v>
      </c>
      <c r="T524" s="408"/>
      <c r="U524" s="408"/>
      <c r="V524" s="408"/>
      <c r="W524" s="408"/>
      <c r="X524" s="408"/>
      <c r="Y524" s="408"/>
      <c r="Z524" s="408">
        <v>53360.12</v>
      </c>
      <c r="AA524" s="408">
        <f t="shared" si="57"/>
        <v>126639.88</v>
      </c>
    </row>
    <row r="525" spans="1:27" ht="31.5">
      <c r="A525" s="557"/>
      <c r="B525" s="512"/>
      <c r="C525" s="205"/>
      <c r="D525" s="141" t="s">
        <v>470</v>
      </c>
      <c r="E525" s="142"/>
      <c r="F525" s="143"/>
      <c r="G525" s="142"/>
      <c r="H525" s="418">
        <v>3210</v>
      </c>
      <c r="I525" s="144">
        <v>677330</v>
      </c>
      <c r="J525" s="201"/>
      <c r="K525" s="144"/>
      <c r="L525" s="471">
        <v>677330</v>
      </c>
      <c r="M525" s="201"/>
      <c r="N525" s="408"/>
      <c r="O525" s="408"/>
      <c r="P525" s="408"/>
      <c r="Q525" s="408"/>
      <c r="R525" s="408">
        <f>203200+852+149159.24</f>
        <v>353211.24</v>
      </c>
      <c r="S525" s="408">
        <f>338700-149159.24</f>
        <v>189540.76</v>
      </c>
      <c r="T525" s="408">
        <f>135430-852</f>
        <v>134578</v>
      </c>
      <c r="U525" s="408"/>
      <c r="V525" s="408"/>
      <c r="W525" s="408"/>
      <c r="X525" s="408"/>
      <c r="Y525" s="408"/>
      <c r="Z525" s="408">
        <v>353211.24</v>
      </c>
      <c r="AA525" s="408">
        <f t="shared" si="57"/>
        <v>324118.76</v>
      </c>
    </row>
    <row r="526" spans="1:27" ht="31.5">
      <c r="A526" s="557"/>
      <c r="B526" s="512"/>
      <c r="C526" s="205"/>
      <c r="D526" s="13" t="s">
        <v>471</v>
      </c>
      <c r="E526" s="142"/>
      <c r="F526" s="143"/>
      <c r="G526" s="142"/>
      <c r="H526" s="418">
        <v>3132</v>
      </c>
      <c r="I526" s="144">
        <v>250000</v>
      </c>
      <c r="J526" s="201"/>
      <c r="K526" s="144"/>
      <c r="L526" s="471">
        <v>250000</v>
      </c>
      <c r="M526" s="201"/>
      <c r="N526" s="408"/>
      <c r="O526" s="408"/>
      <c r="P526" s="408"/>
      <c r="Q526" s="408"/>
      <c r="R526" s="408">
        <v>75000</v>
      </c>
      <c r="S526" s="408">
        <v>175000</v>
      </c>
      <c r="T526" s="408"/>
      <c r="U526" s="408"/>
      <c r="V526" s="408"/>
      <c r="W526" s="408"/>
      <c r="X526" s="408"/>
      <c r="Y526" s="408"/>
      <c r="Z526" s="408">
        <v>76394.99</v>
      </c>
      <c r="AA526" s="408">
        <f t="shared" si="57"/>
        <v>173605.01</v>
      </c>
    </row>
    <row r="527" spans="1:27" ht="31.5">
      <c r="A527" s="557"/>
      <c r="B527" s="512"/>
      <c r="C527" s="205"/>
      <c r="D527" s="13" t="s">
        <v>472</v>
      </c>
      <c r="E527" s="142"/>
      <c r="F527" s="143"/>
      <c r="G527" s="142"/>
      <c r="H527" s="418">
        <v>3132</v>
      </c>
      <c r="I527" s="144">
        <v>200000</v>
      </c>
      <c r="J527" s="201"/>
      <c r="K527" s="144"/>
      <c r="L527" s="471">
        <v>200000</v>
      </c>
      <c r="M527" s="201"/>
      <c r="N527" s="408"/>
      <c r="O527" s="408"/>
      <c r="P527" s="408"/>
      <c r="Q527" s="408"/>
      <c r="R527" s="408">
        <v>60000</v>
      </c>
      <c r="S527" s="408">
        <v>140000</v>
      </c>
      <c r="T527" s="408"/>
      <c r="U527" s="408"/>
      <c r="V527" s="408"/>
      <c r="W527" s="408"/>
      <c r="X527" s="408"/>
      <c r="Y527" s="408"/>
      <c r="Z527" s="408">
        <v>61292.98</v>
      </c>
      <c r="AA527" s="408">
        <f t="shared" si="57"/>
        <v>138707.02</v>
      </c>
    </row>
    <row r="528" spans="1:27" ht="31.5">
      <c r="A528" s="557"/>
      <c r="B528" s="512"/>
      <c r="C528" s="205"/>
      <c r="D528" s="13" t="s">
        <v>473</v>
      </c>
      <c r="E528" s="142"/>
      <c r="F528" s="143"/>
      <c r="G528" s="142"/>
      <c r="H528" s="418">
        <v>3132</v>
      </c>
      <c r="I528" s="144">
        <v>53120</v>
      </c>
      <c r="J528" s="201"/>
      <c r="K528" s="144"/>
      <c r="L528" s="471">
        <v>53120</v>
      </c>
      <c r="M528" s="201"/>
      <c r="N528" s="408"/>
      <c r="O528" s="408"/>
      <c r="P528" s="408"/>
      <c r="Q528" s="408"/>
      <c r="R528" s="408"/>
      <c r="S528" s="408"/>
      <c r="T528" s="408"/>
      <c r="U528" s="408"/>
      <c r="V528" s="408"/>
      <c r="W528" s="408"/>
      <c r="X528" s="408">
        <v>16000</v>
      </c>
      <c r="Y528" s="408">
        <v>37120</v>
      </c>
      <c r="Z528" s="408"/>
      <c r="AA528" s="408">
        <f t="shared" si="57"/>
        <v>0</v>
      </c>
    </row>
    <row r="529" spans="1:27" ht="31.5">
      <c r="A529" s="557"/>
      <c r="B529" s="512"/>
      <c r="C529" s="205"/>
      <c r="D529" s="13" t="s">
        <v>474</v>
      </c>
      <c r="E529" s="142"/>
      <c r="F529" s="143"/>
      <c r="G529" s="142"/>
      <c r="H529" s="418">
        <v>3132</v>
      </c>
      <c r="I529" s="144">
        <v>31760</v>
      </c>
      <c r="J529" s="201"/>
      <c r="K529" s="144"/>
      <c r="L529" s="471">
        <v>31760</v>
      </c>
      <c r="M529" s="201"/>
      <c r="N529" s="408"/>
      <c r="O529" s="408"/>
      <c r="P529" s="408"/>
      <c r="Q529" s="408"/>
      <c r="R529" s="408">
        <v>9530</v>
      </c>
      <c r="S529" s="408">
        <v>22230</v>
      </c>
      <c r="T529" s="408"/>
      <c r="U529" s="408"/>
      <c r="V529" s="408"/>
      <c r="W529" s="408"/>
      <c r="X529" s="408"/>
      <c r="Y529" s="408"/>
      <c r="Z529" s="408">
        <v>8422.37</v>
      </c>
      <c r="AA529" s="408">
        <f t="shared" si="57"/>
        <v>23337.63</v>
      </c>
    </row>
    <row r="530" spans="1:27" ht="31.5">
      <c r="A530" s="557"/>
      <c r="B530" s="512"/>
      <c r="C530" s="205"/>
      <c r="D530" s="13" t="s">
        <v>1111</v>
      </c>
      <c r="E530" s="142"/>
      <c r="F530" s="143"/>
      <c r="G530" s="142"/>
      <c r="H530" s="418">
        <v>3110</v>
      </c>
      <c r="I530" s="144">
        <v>22320</v>
      </c>
      <c r="J530" s="201"/>
      <c r="K530" s="144"/>
      <c r="L530" s="471">
        <v>22320</v>
      </c>
      <c r="M530" s="201"/>
      <c r="N530" s="408"/>
      <c r="O530" s="408"/>
      <c r="P530" s="408"/>
      <c r="Q530" s="408"/>
      <c r="R530" s="408"/>
      <c r="S530" s="408"/>
      <c r="T530" s="408"/>
      <c r="U530" s="408">
        <v>22320</v>
      </c>
      <c r="V530" s="408"/>
      <c r="W530" s="408"/>
      <c r="X530" s="408"/>
      <c r="Y530" s="408"/>
      <c r="Z530" s="408"/>
      <c r="AA530" s="408">
        <f t="shared" si="57"/>
        <v>22320</v>
      </c>
    </row>
    <row r="531" spans="1:27" ht="31.5">
      <c r="A531" s="557"/>
      <c r="B531" s="512"/>
      <c r="C531" s="205"/>
      <c r="D531" s="66" t="s">
        <v>758</v>
      </c>
      <c r="E531" s="142"/>
      <c r="F531" s="143"/>
      <c r="G531" s="142"/>
      <c r="H531" s="418"/>
      <c r="I531" s="254">
        <f>SUM(I532:I535)</f>
        <v>2320520</v>
      </c>
      <c r="J531" s="373">
        <f>SUM(J532:J535)</f>
        <v>0</v>
      </c>
      <c r="K531" s="373">
        <f>SUM(K532:K535)</f>
        <v>0</v>
      </c>
      <c r="L531" s="254">
        <f>SUM(L532:L535)</f>
        <v>2320520</v>
      </c>
      <c r="M531" s="254">
        <f aca="true" t="shared" si="64" ref="M531:Y531">SUM(M532:M535)</f>
        <v>0</v>
      </c>
      <c r="N531" s="254">
        <f t="shared" si="64"/>
        <v>0</v>
      </c>
      <c r="O531" s="254">
        <f t="shared" si="64"/>
        <v>0</v>
      </c>
      <c r="P531" s="254">
        <f t="shared" si="64"/>
        <v>0</v>
      </c>
      <c r="Q531" s="254">
        <f t="shared" si="64"/>
        <v>0</v>
      </c>
      <c r="R531" s="254">
        <f t="shared" si="64"/>
        <v>0</v>
      </c>
      <c r="S531" s="254">
        <f t="shared" si="64"/>
        <v>0</v>
      </c>
      <c r="T531" s="254">
        <f t="shared" si="64"/>
        <v>0</v>
      </c>
      <c r="U531" s="254">
        <f t="shared" si="64"/>
        <v>1047520</v>
      </c>
      <c r="V531" s="254">
        <f t="shared" si="64"/>
        <v>450000</v>
      </c>
      <c r="W531" s="254">
        <f t="shared" si="64"/>
        <v>823000</v>
      </c>
      <c r="X531" s="254">
        <f t="shared" si="64"/>
        <v>0</v>
      </c>
      <c r="Y531" s="254">
        <f t="shared" si="64"/>
        <v>0</v>
      </c>
      <c r="Z531" s="408"/>
      <c r="AA531" s="408">
        <f t="shared" si="57"/>
        <v>1047520</v>
      </c>
    </row>
    <row r="532" spans="1:61" s="253" customFormat="1" ht="15.75">
      <c r="A532" s="557"/>
      <c r="B532" s="512"/>
      <c r="C532" s="252"/>
      <c r="D532" s="351" t="s">
        <v>759</v>
      </c>
      <c r="E532" s="199"/>
      <c r="F532" s="200"/>
      <c r="G532" s="199"/>
      <c r="H532" s="418">
        <v>3110</v>
      </c>
      <c r="I532" s="201">
        <v>650000</v>
      </c>
      <c r="J532" s="201"/>
      <c r="K532" s="201"/>
      <c r="L532" s="470">
        <v>650000</v>
      </c>
      <c r="M532" s="201"/>
      <c r="N532" s="466"/>
      <c r="O532" s="466"/>
      <c r="P532" s="466"/>
      <c r="Q532" s="466"/>
      <c r="R532" s="466"/>
      <c r="S532" s="466"/>
      <c r="T532" s="466"/>
      <c r="U532" s="466">
        <v>200000</v>
      </c>
      <c r="V532" s="466">
        <v>450000</v>
      </c>
      <c r="W532" s="466"/>
      <c r="X532" s="466"/>
      <c r="Y532" s="466"/>
      <c r="Z532" s="466"/>
      <c r="AA532" s="408">
        <f t="shared" si="57"/>
        <v>200000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760</v>
      </c>
      <c r="E533" s="199"/>
      <c r="F533" s="200"/>
      <c r="G533" s="199"/>
      <c r="H533" s="418">
        <v>3110</v>
      </c>
      <c r="I533" s="201">
        <v>823000</v>
      </c>
      <c r="J533" s="201"/>
      <c r="K533" s="201"/>
      <c r="L533" s="470">
        <v>823000</v>
      </c>
      <c r="M533" s="201"/>
      <c r="N533" s="466"/>
      <c r="O533" s="466"/>
      <c r="P533" s="466"/>
      <c r="Q533" s="466"/>
      <c r="R533" s="466"/>
      <c r="S533" s="466"/>
      <c r="T533" s="466"/>
      <c r="U533" s="466"/>
      <c r="V533" s="466"/>
      <c r="W533" s="466">
        <v>823000</v>
      </c>
      <c r="X533" s="466"/>
      <c r="Y533" s="466"/>
      <c r="Z533" s="466"/>
      <c r="AA533" s="408">
        <f aca="true" t="shared" si="65" ref="AA533:AA596">N533+O533+P533+Q533+R533+S533+T533+U533-Z533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761</v>
      </c>
      <c r="E534" s="199"/>
      <c r="F534" s="200"/>
      <c r="G534" s="199"/>
      <c r="H534" s="418">
        <v>3110</v>
      </c>
      <c r="I534" s="201">
        <v>47520</v>
      </c>
      <c r="J534" s="201"/>
      <c r="K534" s="201"/>
      <c r="L534" s="470">
        <v>47520</v>
      </c>
      <c r="M534" s="201"/>
      <c r="N534" s="466"/>
      <c r="O534" s="466"/>
      <c r="P534" s="466"/>
      <c r="Q534" s="466"/>
      <c r="R534" s="466"/>
      <c r="S534" s="466"/>
      <c r="T534" s="466"/>
      <c r="U534" s="466">
        <v>47520</v>
      </c>
      <c r="V534" s="466"/>
      <c r="W534" s="466"/>
      <c r="X534" s="466"/>
      <c r="Y534" s="466"/>
      <c r="Z534" s="466"/>
      <c r="AA534" s="408">
        <f t="shared" si="65"/>
        <v>47520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61" s="253" customFormat="1" ht="15.75">
      <c r="A535" s="595"/>
      <c r="B535" s="594"/>
      <c r="C535" s="252"/>
      <c r="D535" s="351" t="s">
        <v>762</v>
      </c>
      <c r="E535" s="199"/>
      <c r="F535" s="200"/>
      <c r="G535" s="199"/>
      <c r="H535" s="418">
        <v>3110</v>
      </c>
      <c r="I535" s="201">
        <v>800000</v>
      </c>
      <c r="J535" s="201"/>
      <c r="K535" s="201"/>
      <c r="L535" s="470">
        <v>800000</v>
      </c>
      <c r="M535" s="201"/>
      <c r="N535" s="466"/>
      <c r="O535" s="466"/>
      <c r="P535" s="466"/>
      <c r="Q535" s="466"/>
      <c r="R535" s="466"/>
      <c r="S535" s="466"/>
      <c r="T535" s="466"/>
      <c r="U535" s="466">
        <v>800000</v>
      </c>
      <c r="V535" s="466"/>
      <c r="W535" s="466"/>
      <c r="X535" s="466"/>
      <c r="Y535" s="466"/>
      <c r="Z535" s="466"/>
      <c r="AA535" s="408">
        <f t="shared" si="65"/>
        <v>800000</v>
      </c>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row>
    <row r="536" spans="1:27" ht="31.5">
      <c r="A536" s="596"/>
      <c r="B536" s="591"/>
      <c r="C536" s="205"/>
      <c r="D536" s="13" t="s">
        <v>463</v>
      </c>
      <c r="E536" s="142"/>
      <c r="F536" s="143"/>
      <c r="G536" s="142"/>
      <c r="H536" s="418">
        <v>3110</v>
      </c>
      <c r="I536" s="144">
        <v>57890.57</v>
      </c>
      <c r="J536" s="201"/>
      <c r="K536" s="201"/>
      <c r="L536" s="471">
        <v>57890.57</v>
      </c>
      <c r="M536" s="201"/>
      <c r="N536" s="408"/>
      <c r="O536" s="408"/>
      <c r="P536" s="408"/>
      <c r="Q536" s="408"/>
      <c r="R536" s="408"/>
      <c r="S536" s="408"/>
      <c r="T536" s="408">
        <v>57890.57</v>
      </c>
      <c r="U536" s="408"/>
      <c r="V536" s="408"/>
      <c r="W536" s="408"/>
      <c r="X536" s="408"/>
      <c r="Y536" s="408"/>
      <c r="Z536" s="408"/>
      <c r="AA536" s="408">
        <f t="shared" si="65"/>
        <v>57890.57</v>
      </c>
    </row>
    <row r="537" spans="1:27" ht="20.25" customHeight="1">
      <c r="A537" s="556" t="s">
        <v>981</v>
      </c>
      <c r="B537" s="538" t="s">
        <v>1078</v>
      </c>
      <c r="C537" s="195"/>
      <c r="D537" s="216" t="s">
        <v>1597</v>
      </c>
      <c r="E537" s="158"/>
      <c r="F537" s="159"/>
      <c r="G537" s="158"/>
      <c r="H537" s="420"/>
      <c r="I537" s="139">
        <f aca="true" t="shared" si="66" ref="I537:Z537">I538+I545+I546+I547</f>
        <v>223686.15</v>
      </c>
      <c r="J537" s="139">
        <f t="shared" si="66"/>
        <v>0</v>
      </c>
      <c r="K537" s="139">
        <f t="shared" si="66"/>
        <v>0</v>
      </c>
      <c r="L537" s="139">
        <f t="shared" si="66"/>
        <v>223686.15</v>
      </c>
      <c r="M537" s="139">
        <f t="shared" si="66"/>
        <v>0</v>
      </c>
      <c r="N537" s="139">
        <f t="shared" si="66"/>
        <v>0</v>
      </c>
      <c r="O537" s="139">
        <f t="shared" si="66"/>
        <v>141186.15</v>
      </c>
      <c r="P537" s="139">
        <f t="shared" si="66"/>
        <v>0</v>
      </c>
      <c r="Q537" s="139">
        <f t="shared" si="66"/>
        <v>0</v>
      </c>
      <c r="R537" s="139">
        <f t="shared" si="66"/>
        <v>30000</v>
      </c>
      <c r="S537" s="139">
        <f t="shared" si="66"/>
        <v>0</v>
      </c>
      <c r="T537" s="139">
        <f t="shared" si="66"/>
        <v>0</v>
      </c>
      <c r="U537" s="139">
        <f t="shared" si="66"/>
        <v>0</v>
      </c>
      <c r="V537" s="139">
        <f t="shared" si="66"/>
        <v>0</v>
      </c>
      <c r="W537" s="139">
        <f t="shared" si="66"/>
        <v>0</v>
      </c>
      <c r="X537" s="139">
        <f t="shared" si="66"/>
        <v>52500</v>
      </c>
      <c r="Y537" s="139">
        <f t="shared" si="66"/>
        <v>0</v>
      </c>
      <c r="Z537" s="139">
        <f t="shared" si="66"/>
        <v>143686.15</v>
      </c>
      <c r="AA537" s="408">
        <f t="shared" si="65"/>
        <v>27500</v>
      </c>
    </row>
    <row r="538" spans="1:27" ht="36" customHeight="1">
      <c r="A538" s="557"/>
      <c r="B538" s="512"/>
      <c r="C538" s="561" t="s">
        <v>1112</v>
      </c>
      <c r="D538" s="217" t="s">
        <v>1113</v>
      </c>
      <c r="E538" s="142"/>
      <c r="F538" s="143"/>
      <c r="G538" s="142"/>
      <c r="H538" s="418"/>
      <c r="I538" s="144">
        <f>SUM(I539:I542)</f>
        <v>99675</v>
      </c>
      <c r="J538" s="144">
        <f>SUM(J539:J542)</f>
        <v>0</v>
      </c>
      <c r="K538" s="144">
        <f>SUM(K539:K542)</f>
        <v>0</v>
      </c>
      <c r="L538" s="144">
        <f>SUM(L539:L542)</f>
        <v>99675</v>
      </c>
      <c r="M538" s="144">
        <f>SUM(M539:M542)</f>
        <v>0</v>
      </c>
      <c r="N538" s="408"/>
      <c r="O538" s="144">
        <f>SUM(O539:O542)</f>
        <v>99675</v>
      </c>
      <c r="P538" s="408"/>
      <c r="Q538" s="408"/>
      <c r="R538" s="408"/>
      <c r="S538" s="408"/>
      <c r="T538" s="408"/>
      <c r="U538" s="408"/>
      <c r="V538" s="408"/>
      <c r="W538" s="408"/>
      <c r="X538" s="408"/>
      <c r="Y538" s="408"/>
      <c r="Z538" s="144">
        <f>SUM(Z539:Z542)</f>
        <v>99675</v>
      </c>
      <c r="AA538" s="408">
        <f t="shared" si="65"/>
        <v>0</v>
      </c>
    </row>
    <row r="539" spans="1:27" ht="31.5">
      <c r="A539" s="557"/>
      <c r="B539" s="512"/>
      <c r="C539" s="562"/>
      <c r="D539" s="352" t="s">
        <v>1114</v>
      </c>
      <c r="E539" s="199"/>
      <c r="F539" s="143"/>
      <c r="G539" s="199"/>
      <c r="H539" s="418">
        <v>3110</v>
      </c>
      <c r="I539" s="201">
        <v>55275</v>
      </c>
      <c r="J539" s="201"/>
      <c r="K539" s="201"/>
      <c r="L539" s="201">
        <v>55275</v>
      </c>
      <c r="M539" s="144"/>
      <c r="N539" s="408"/>
      <c r="O539" s="201">
        <v>55275</v>
      </c>
      <c r="P539" s="408"/>
      <c r="Q539" s="408"/>
      <c r="R539" s="408"/>
      <c r="S539" s="408"/>
      <c r="T539" s="408"/>
      <c r="U539" s="408"/>
      <c r="V539" s="408"/>
      <c r="W539" s="408"/>
      <c r="X539" s="408"/>
      <c r="Y539" s="408"/>
      <c r="Z539" s="201">
        <v>55275</v>
      </c>
      <c r="AA539" s="408">
        <f t="shared" si="65"/>
        <v>0</v>
      </c>
    </row>
    <row r="540" spans="1:27" ht="15.75" customHeight="1" hidden="1">
      <c r="A540" s="557"/>
      <c r="B540" s="512"/>
      <c r="C540" s="562"/>
      <c r="D540" s="352" t="s">
        <v>748</v>
      </c>
      <c r="E540" s="199"/>
      <c r="F540" s="143"/>
      <c r="G540" s="199"/>
      <c r="H540" s="418">
        <v>3110</v>
      </c>
      <c r="I540" s="201">
        <v>0</v>
      </c>
      <c r="J540" s="201"/>
      <c r="K540" s="201"/>
      <c r="L540" s="201"/>
      <c r="M540" s="144"/>
      <c r="N540" s="408"/>
      <c r="O540" s="201">
        <v>0</v>
      </c>
      <c r="P540" s="408"/>
      <c r="Q540" s="408"/>
      <c r="R540" s="408"/>
      <c r="S540" s="408"/>
      <c r="T540" s="408"/>
      <c r="U540" s="408"/>
      <c r="V540" s="408"/>
      <c r="W540" s="408"/>
      <c r="X540" s="408"/>
      <c r="Y540" s="408"/>
      <c r="Z540" s="201">
        <v>0</v>
      </c>
      <c r="AA540" s="408">
        <f t="shared" si="65"/>
        <v>0</v>
      </c>
    </row>
    <row r="541" spans="1:27" ht="31.5">
      <c r="A541" s="557"/>
      <c r="B541" s="512"/>
      <c r="C541" s="562"/>
      <c r="D541" s="352" t="s">
        <v>749</v>
      </c>
      <c r="E541" s="199"/>
      <c r="F541" s="143"/>
      <c r="G541" s="199"/>
      <c r="H541" s="418">
        <v>3110</v>
      </c>
      <c r="I541" s="201">
        <v>15900</v>
      </c>
      <c r="J541" s="201"/>
      <c r="K541" s="201"/>
      <c r="L541" s="201">
        <v>15900</v>
      </c>
      <c r="M541" s="144"/>
      <c r="N541" s="408"/>
      <c r="O541" s="201">
        <v>15900</v>
      </c>
      <c r="P541" s="408"/>
      <c r="Q541" s="408"/>
      <c r="R541" s="408"/>
      <c r="S541" s="408"/>
      <c r="T541" s="408"/>
      <c r="U541" s="408"/>
      <c r="V541" s="408"/>
      <c r="W541" s="408"/>
      <c r="X541" s="408"/>
      <c r="Y541" s="408"/>
      <c r="Z541" s="201">
        <v>15900</v>
      </c>
      <c r="AA541" s="408">
        <f t="shared" si="65"/>
        <v>0</v>
      </c>
    </row>
    <row r="542" spans="1:27" ht="31.5">
      <c r="A542" s="557"/>
      <c r="B542" s="512"/>
      <c r="C542" s="563"/>
      <c r="D542" s="352" t="s">
        <v>1097</v>
      </c>
      <c r="E542" s="199"/>
      <c r="F542" s="143"/>
      <c r="G542" s="199"/>
      <c r="H542" s="418">
        <v>3110</v>
      </c>
      <c r="I542" s="201">
        <v>28500</v>
      </c>
      <c r="J542" s="201"/>
      <c r="K542" s="201"/>
      <c r="L542" s="201">
        <v>28500</v>
      </c>
      <c r="M542" s="144"/>
      <c r="N542" s="408"/>
      <c r="O542" s="201">
        <v>28500</v>
      </c>
      <c r="P542" s="408"/>
      <c r="Q542" s="408"/>
      <c r="R542" s="408"/>
      <c r="S542" s="408"/>
      <c r="T542" s="408"/>
      <c r="U542" s="408"/>
      <c r="V542" s="408"/>
      <c r="W542" s="408"/>
      <c r="X542" s="408"/>
      <c r="Y542" s="408"/>
      <c r="Z542" s="201">
        <v>28500</v>
      </c>
      <c r="AA542" s="408">
        <f t="shared" si="65"/>
        <v>0</v>
      </c>
    </row>
    <row r="543" spans="1:27" ht="31.5" customHeight="1" hidden="1">
      <c r="A543" s="557"/>
      <c r="B543" s="512"/>
      <c r="C543" s="135" t="s">
        <v>1098</v>
      </c>
      <c r="D543" s="217" t="s">
        <v>1099</v>
      </c>
      <c r="E543" s="142">
        <v>500</v>
      </c>
      <c r="F543" s="143">
        <f>100%-((E543-G543)/E543)</f>
        <v>1</v>
      </c>
      <c r="G543" s="142">
        <v>500</v>
      </c>
      <c r="H543" s="418"/>
      <c r="I543" s="144">
        <v>0</v>
      </c>
      <c r="J543" s="144"/>
      <c r="K543" s="144"/>
      <c r="L543" s="144">
        <f>500-500</f>
        <v>0</v>
      </c>
      <c r="M543" s="144"/>
      <c r="N543" s="408"/>
      <c r="O543" s="144">
        <v>0</v>
      </c>
      <c r="P543" s="408"/>
      <c r="Q543" s="408"/>
      <c r="R543" s="408"/>
      <c r="S543" s="408"/>
      <c r="T543" s="408"/>
      <c r="U543" s="408"/>
      <c r="V543" s="408"/>
      <c r="W543" s="408"/>
      <c r="X543" s="408"/>
      <c r="Y543" s="408"/>
      <c r="Z543" s="144">
        <v>0</v>
      </c>
      <c r="AA543" s="408">
        <f t="shared" si="65"/>
        <v>0</v>
      </c>
    </row>
    <row r="544" spans="1:27" ht="31.5" customHeight="1" hidden="1">
      <c r="A544" s="557"/>
      <c r="B544" s="512"/>
      <c r="C544" s="135"/>
      <c r="D544" s="217" t="s">
        <v>1100</v>
      </c>
      <c r="E544" s="142"/>
      <c r="F544" s="143"/>
      <c r="G544" s="142"/>
      <c r="H544" s="418"/>
      <c r="I544" s="144">
        <v>0</v>
      </c>
      <c r="J544" s="144"/>
      <c r="K544" s="144"/>
      <c r="L544" s="144"/>
      <c r="M544" s="144"/>
      <c r="N544" s="408"/>
      <c r="O544" s="144">
        <v>0</v>
      </c>
      <c r="P544" s="408"/>
      <c r="Q544" s="408"/>
      <c r="R544" s="408"/>
      <c r="S544" s="408"/>
      <c r="T544" s="408"/>
      <c r="U544" s="408"/>
      <c r="V544" s="408"/>
      <c r="W544" s="408"/>
      <c r="X544" s="408"/>
      <c r="Y544" s="408"/>
      <c r="Z544" s="144">
        <v>0</v>
      </c>
      <c r="AA544" s="408">
        <f t="shared" si="65"/>
        <v>0</v>
      </c>
    </row>
    <row r="545" spans="1:27" ht="31.5">
      <c r="A545" s="557"/>
      <c r="B545" s="512"/>
      <c r="C545" s="135"/>
      <c r="D545" s="217" t="s">
        <v>750</v>
      </c>
      <c r="E545" s="142">
        <v>32.608</v>
      </c>
      <c r="F545" s="143">
        <f>100%-((E545-G545)/E545)</f>
        <v>1</v>
      </c>
      <c r="G545" s="142">
        <v>32.608</v>
      </c>
      <c r="H545" s="418">
        <v>3132</v>
      </c>
      <c r="I545" s="144">
        <v>41511.15</v>
      </c>
      <c r="J545" s="144"/>
      <c r="K545" s="144"/>
      <c r="L545" s="144">
        <v>41511.15</v>
      </c>
      <c r="M545" s="144"/>
      <c r="N545" s="408"/>
      <c r="O545" s="144">
        <v>41511.15</v>
      </c>
      <c r="P545" s="408"/>
      <c r="Q545" s="408"/>
      <c r="R545" s="408"/>
      <c r="S545" s="408"/>
      <c r="T545" s="408"/>
      <c r="U545" s="408"/>
      <c r="V545" s="408"/>
      <c r="W545" s="408"/>
      <c r="X545" s="408"/>
      <c r="Y545" s="408"/>
      <c r="Z545" s="144">
        <v>41511.15</v>
      </c>
      <c r="AA545" s="408">
        <f t="shared" si="65"/>
        <v>0</v>
      </c>
    </row>
    <row r="546" spans="1:27" ht="31.5">
      <c r="A546" s="557"/>
      <c r="B546" s="512"/>
      <c r="C546" s="135"/>
      <c r="D546" s="13" t="s">
        <v>464</v>
      </c>
      <c r="E546" s="142"/>
      <c r="F546" s="143"/>
      <c r="G546" s="142"/>
      <c r="H546" s="418">
        <v>3132</v>
      </c>
      <c r="I546" s="144">
        <v>30000</v>
      </c>
      <c r="J546" s="144"/>
      <c r="K546" s="144"/>
      <c r="L546" s="471">
        <v>30000</v>
      </c>
      <c r="M546" s="144"/>
      <c r="N546" s="408"/>
      <c r="O546" s="408"/>
      <c r="P546" s="408"/>
      <c r="Q546" s="408"/>
      <c r="R546" s="408">
        <v>30000</v>
      </c>
      <c r="S546" s="408"/>
      <c r="T546" s="408"/>
      <c r="U546" s="408"/>
      <c r="V546" s="408"/>
      <c r="W546" s="408"/>
      <c r="X546" s="408"/>
      <c r="Y546" s="408"/>
      <c r="Z546" s="408">
        <v>2500</v>
      </c>
      <c r="AA546" s="408">
        <f t="shared" si="65"/>
        <v>27500</v>
      </c>
    </row>
    <row r="547" spans="1:27" ht="31.5">
      <c r="A547" s="557"/>
      <c r="B547" s="512"/>
      <c r="C547" s="135"/>
      <c r="D547" s="13" t="s">
        <v>871</v>
      </c>
      <c r="E547" s="142"/>
      <c r="F547" s="143"/>
      <c r="G547" s="142"/>
      <c r="H547" s="418"/>
      <c r="I547" s="49">
        <f>SUM(I548:I550)</f>
        <v>52500</v>
      </c>
      <c r="J547" s="372">
        <f>SUM(J548:J550)</f>
        <v>0</v>
      </c>
      <c r="K547" s="372">
        <f>SUM(K548:K550)</f>
        <v>0</v>
      </c>
      <c r="L547" s="49">
        <f>SUM(L548:L550)</f>
        <v>52500</v>
      </c>
      <c r="M547" s="49">
        <f aca="true" t="shared" si="67" ref="M547:Y547">SUM(M548:M550)</f>
        <v>0</v>
      </c>
      <c r="N547" s="49">
        <f t="shared" si="67"/>
        <v>0</v>
      </c>
      <c r="O547" s="49">
        <f t="shared" si="67"/>
        <v>0</v>
      </c>
      <c r="P547" s="49">
        <f t="shared" si="67"/>
        <v>0</v>
      </c>
      <c r="Q547" s="49">
        <f t="shared" si="67"/>
        <v>0</v>
      </c>
      <c r="R547" s="49">
        <f t="shared" si="67"/>
        <v>0</v>
      </c>
      <c r="S547" s="49">
        <f t="shared" si="67"/>
        <v>0</v>
      </c>
      <c r="T547" s="49">
        <f t="shared" si="67"/>
        <v>0</v>
      </c>
      <c r="U547" s="49">
        <f t="shared" si="67"/>
        <v>0</v>
      </c>
      <c r="V547" s="49">
        <f t="shared" si="67"/>
        <v>0</v>
      </c>
      <c r="W547" s="49">
        <f t="shared" si="67"/>
        <v>0</v>
      </c>
      <c r="X547" s="49">
        <f t="shared" si="67"/>
        <v>52500</v>
      </c>
      <c r="Y547" s="49">
        <f t="shared" si="67"/>
        <v>0</v>
      </c>
      <c r="Z547" s="408"/>
      <c r="AA547" s="408">
        <f t="shared" si="65"/>
        <v>0</v>
      </c>
    </row>
    <row r="548" spans="1:27" s="64" customFormat="1" ht="15.75">
      <c r="A548" s="557"/>
      <c r="B548" s="512"/>
      <c r="C548" s="255"/>
      <c r="D548" s="346" t="s">
        <v>872</v>
      </c>
      <c r="E548" s="199"/>
      <c r="F548" s="200"/>
      <c r="G548" s="199"/>
      <c r="H548" s="418">
        <v>3110</v>
      </c>
      <c r="I548" s="201">
        <v>40000</v>
      </c>
      <c r="J548" s="201"/>
      <c r="K548" s="201"/>
      <c r="L548" s="470">
        <v>40000</v>
      </c>
      <c r="M548" s="201"/>
      <c r="N548" s="466"/>
      <c r="O548" s="466"/>
      <c r="P548" s="466"/>
      <c r="Q548" s="466"/>
      <c r="R548" s="466"/>
      <c r="S548" s="466"/>
      <c r="T548" s="466"/>
      <c r="U548" s="466"/>
      <c r="V548" s="466"/>
      <c r="W548" s="466"/>
      <c r="X548" s="466">
        <v>40000</v>
      </c>
      <c r="Y548" s="466"/>
      <c r="Z548" s="466"/>
      <c r="AA548" s="408">
        <f t="shared" si="65"/>
        <v>0</v>
      </c>
    </row>
    <row r="549" spans="1:27" s="64" customFormat="1" ht="15.75">
      <c r="A549" s="557"/>
      <c r="B549" s="512"/>
      <c r="C549" s="255"/>
      <c r="D549" s="346" t="s">
        <v>873</v>
      </c>
      <c r="E549" s="199"/>
      <c r="F549" s="200"/>
      <c r="G549" s="199"/>
      <c r="H549" s="418">
        <v>3110</v>
      </c>
      <c r="I549" s="201">
        <v>6000</v>
      </c>
      <c r="J549" s="201"/>
      <c r="K549" s="201"/>
      <c r="L549" s="470">
        <v>6000</v>
      </c>
      <c r="M549" s="201"/>
      <c r="N549" s="466"/>
      <c r="O549" s="466"/>
      <c r="P549" s="466"/>
      <c r="Q549" s="466"/>
      <c r="R549" s="466"/>
      <c r="S549" s="466"/>
      <c r="T549" s="466"/>
      <c r="U549" s="466"/>
      <c r="V549" s="466"/>
      <c r="W549" s="466"/>
      <c r="X549" s="466">
        <v>6000</v>
      </c>
      <c r="Y549" s="466"/>
      <c r="Z549" s="466"/>
      <c r="AA549" s="408">
        <f t="shared" si="65"/>
        <v>0</v>
      </c>
    </row>
    <row r="550" spans="1:27" s="64" customFormat="1" ht="15.75">
      <c r="A550" s="560"/>
      <c r="B550" s="516"/>
      <c r="C550" s="255"/>
      <c r="D550" s="346" t="s">
        <v>874</v>
      </c>
      <c r="E550" s="199"/>
      <c r="F550" s="200"/>
      <c r="G550" s="199"/>
      <c r="H550" s="418">
        <v>3110</v>
      </c>
      <c r="I550" s="201">
        <v>6500</v>
      </c>
      <c r="J550" s="201"/>
      <c r="K550" s="201"/>
      <c r="L550" s="470">
        <v>6500</v>
      </c>
      <c r="M550" s="201"/>
      <c r="N550" s="466"/>
      <c r="O550" s="466"/>
      <c r="P550" s="466"/>
      <c r="Q550" s="466"/>
      <c r="R550" s="466"/>
      <c r="S550" s="466"/>
      <c r="T550" s="466"/>
      <c r="U550" s="466"/>
      <c r="V550" s="466"/>
      <c r="W550" s="466"/>
      <c r="X550" s="466">
        <v>6500</v>
      </c>
      <c r="Y550" s="466"/>
      <c r="Z550" s="466"/>
      <c r="AA550" s="408">
        <f t="shared" si="65"/>
        <v>0</v>
      </c>
    </row>
    <row r="551" spans="1:27" s="30" customFormat="1" ht="15.75" customHeight="1" hidden="1">
      <c r="A551" s="546" t="s">
        <v>982</v>
      </c>
      <c r="B551" s="549" t="s">
        <v>751</v>
      </c>
      <c r="C551" s="167"/>
      <c r="D551" s="216" t="s">
        <v>752</v>
      </c>
      <c r="E551" s="137"/>
      <c r="F551" s="159"/>
      <c r="G551" s="137"/>
      <c r="H551" s="417"/>
      <c r="I551" s="139" t="e">
        <f>J551+K551+L551+M551+#REF!+#REF!</f>
        <v>#REF!</v>
      </c>
      <c r="J551" s="139">
        <f>J552+J553+J558</f>
        <v>0</v>
      </c>
      <c r="K551" s="139">
        <f>K552+K553+K558</f>
        <v>0</v>
      </c>
      <c r="L551" s="139">
        <f>L552+L553+L558</f>
        <v>0</v>
      </c>
      <c r="M551" s="139">
        <f>M552+M553+M558</f>
        <v>0</v>
      </c>
      <c r="N551" s="440"/>
      <c r="O551" s="440"/>
      <c r="P551" s="440"/>
      <c r="Q551" s="440"/>
      <c r="R551" s="440"/>
      <c r="S551" s="440"/>
      <c r="T551" s="440"/>
      <c r="U551" s="440"/>
      <c r="V551" s="440"/>
      <c r="W551" s="440"/>
      <c r="X551" s="440"/>
      <c r="Y551" s="440"/>
      <c r="Z551" s="440"/>
      <c r="AA551" s="408">
        <f t="shared" si="65"/>
        <v>0</v>
      </c>
    </row>
    <row r="552" spans="1:27" ht="33.75" customHeight="1" hidden="1">
      <c r="A552" s="547"/>
      <c r="B552" s="550"/>
      <c r="C552" s="167" t="s">
        <v>753</v>
      </c>
      <c r="D552" s="217" t="s">
        <v>1219</v>
      </c>
      <c r="E552" s="142">
        <v>205</v>
      </c>
      <c r="F552" s="143">
        <f>100%-((E552-G552)/E552)</f>
        <v>1</v>
      </c>
      <c r="G552" s="142">
        <v>205</v>
      </c>
      <c r="H552" s="418"/>
      <c r="I552" s="144" t="e">
        <f>J552+K552+L552+M552+#REF!+#REF!</f>
        <v>#REF!</v>
      </c>
      <c r="J552" s="144"/>
      <c r="K552" s="144"/>
      <c r="L552" s="144"/>
      <c r="M552" s="144"/>
      <c r="N552" s="408"/>
      <c r="O552" s="408"/>
      <c r="P552" s="408"/>
      <c r="Q552" s="408"/>
      <c r="R552" s="408"/>
      <c r="S552" s="408"/>
      <c r="T552" s="408"/>
      <c r="U552" s="408"/>
      <c r="V552" s="408"/>
      <c r="W552" s="408"/>
      <c r="X552" s="408"/>
      <c r="Y552" s="408"/>
      <c r="Z552" s="408"/>
      <c r="AA552" s="408">
        <f t="shared" si="65"/>
        <v>0</v>
      </c>
    </row>
    <row r="553" spans="1:27" ht="31.5" hidden="1">
      <c r="A553" s="547"/>
      <c r="B553" s="550"/>
      <c r="C553" s="167"/>
      <c r="D553" s="66" t="s">
        <v>758</v>
      </c>
      <c r="E553" s="142"/>
      <c r="F553" s="143"/>
      <c r="G553" s="142"/>
      <c r="H553" s="418"/>
      <c r="I553" s="144" t="e">
        <f>J553+K553+L553+M553+#REF!+#REF!</f>
        <v>#REF!</v>
      </c>
      <c r="J553" s="144">
        <f>SUM(J554:J557)</f>
        <v>0</v>
      </c>
      <c r="K553" s="144"/>
      <c r="L553" s="144">
        <f>SUM(L554:L557)</f>
        <v>0</v>
      </c>
      <c r="M553" s="144">
        <f>SUM(M554:M557)</f>
        <v>0</v>
      </c>
      <c r="N553" s="408"/>
      <c r="O553" s="408"/>
      <c r="P553" s="408"/>
      <c r="Q553" s="408"/>
      <c r="R553" s="408"/>
      <c r="S553" s="408"/>
      <c r="T553" s="408"/>
      <c r="U553" s="408"/>
      <c r="V553" s="408"/>
      <c r="W553" s="408"/>
      <c r="X553" s="408"/>
      <c r="Y553" s="408"/>
      <c r="Z553" s="408"/>
      <c r="AA553" s="408">
        <f t="shared" si="65"/>
        <v>0</v>
      </c>
    </row>
    <row r="554" spans="1:27" s="64" customFormat="1" ht="15.75" hidden="1">
      <c r="A554" s="547"/>
      <c r="B554" s="550"/>
      <c r="C554" s="244"/>
      <c r="D554" s="67" t="s">
        <v>759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7"/>
      <c r="B555" s="550"/>
      <c r="C555" s="244"/>
      <c r="D555" s="67" t="s">
        <v>760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7"/>
      <c r="B556" s="550"/>
      <c r="C556" s="244"/>
      <c r="D556" s="67" t="s">
        <v>761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s="64" customFormat="1" ht="15.75" hidden="1">
      <c r="A557" s="547"/>
      <c r="B557" s="550"/>
      <c r="C557" s="244"/>
      <c r="D557" s="67" t="s">
        <v>762</v>
      </c>
      <c r="E557" s="199"/>
      <c r="F557" s="200"/>
      <c r="G557" s="199"/>
      <c r="H557" s="424"/>
      <c r="I557" s="144" t="e">
        <f>J557+K557+L557+M557+#REF!+#REF!</f>
        <v>#REF!</v>
      </c>
      <c r="J557" s="201"/>
      <c r="K557" s="201"/>
      <c r="L557" s="201"/>
      <c r="M557" s="201"/>
      <c r="N557" s="466"/>
      <c r="O557" s="466"/>
      <c r="P557" s="466"/>
      <c r="Q557" s="466"/>
      <c r="R557" s="466"/>
      <c r="S557" s="466"/>
      <c r="T557" s="466"/>
      <c r="U557" s="466"/>
      <c r="V557" s="466"/>
      <c r="W557" s="466"/>
      <c r="X557" s="466"/>
      <c r="Y557" s="466"/>
      <c r="Z557" s="466"/>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27" ht="33.75" customHeight="1" hidden="1">
      <c r="A560" s="256"/>
      <c r="B560" s="257"/>
      <c r="C560" s="167"/>
      <c r="D560" s="217"/>
      <c r="E560" s="142"/>
      <c r="F560" s="143"/>
      <c r="G560" s="142"/>
      <c r="H560" s="418"/>
      <c r="I560" s="144" t="e">
        <f>J560+K560+L560+M560+#REF!+#REF!</f>
        <v>#REF!</v>
      </c>
      <c r="J560" s="144"/>
      <c r="K560" s="144"/>
      <c r="L560" s="144"/>
      <c r="M560" s="144"/>
      <c r="N560" s="408"/>
      <c r="O560" s="408"/>
      <c r="P560" s="408"/>
      <c r="Q560" s="408"/>
      <c r="R560" s="408"/>
      <c r="S560" s="408"/>
      <c r="T560" s="408"/>
      <c r="U560" s="408"/>
      <c r="V560" s="408"/>
      <c r="W560" s="408"/>
      <c r="X560" s="408"/>
      <c r="Y560" s="408"/>
      <c r="Z560" s="408"/>
      <c r="AA560" s="408">
        <f t="shared" si="65"/>
        <v>0</v>
      </c>
    </row>
    <row r="561" spans="1:61" s="28" customFormat="1" ht="15.75" customHeight="1">
      <c r="A561" s="556" t="s">
        <v>127</v>
      </c>
      <c r="B561" s="538" t="s">
        <v>53</v>
      </c>
      <c r="C561" s="195"/>
      <c r="D561" s="216" t="s">
        <v>1597</v>
      </c>
      <c r="E561" s="137"/>
      <c r="F561" s="159"/>
      <c r="G561" s="137"/>
      <c r="H561" s="417"/>
      <c r="I561" s="139">
        <f>SUM(I564:I565)</f>
        <v>493682.4</v>
      </c>
      <c r="J561" s="139">
        <f aca="true" t="shared" si="68" ref="J561:Z561">SUM(J562:J565)</f>
        <v>0</v>
      </c>
      <c r="K561" s="139">
        <f t="shared" si="68"/>
        <v>0</v>
      </c>
      <c r="L561" s="139">
        <f t="shared" si="68"/>
        <v>493682.4</v>
      </c>
      <c r="M561" s="139">
        <f t="shared" si="68"/>
        <v>0</v>
      </c>
      <c r="N561" s="139">
        <f t="shared" si="68"/>
        <v>0</v>
      </c>
      <c r="O561" s="139">
        <f t="shared" si="68"/>
        <v>7232.4</v>
      </c>
      <c r="P561" s="139">
        <f t="shared" si="68"/>
        <v>0</v>
      </c>
      <c r="Q561" s="139">
        <f t="shared" si="68"/>
        <v>0</v>
      </c>
      <c r="R561" s="139">
        <f t="shared" si="68"/>
        <v>0</v>
      </c>
      <c r="S561" s="139">
        <f t="shared" si="68"/>
        <v>180512</v>
      </c>
      <c r="T561" s="139">
        <f t="shared" si="68"/>
        <v>70100</v>
      </c>
      <c r="U561" s="139">
        <f t="shared" si="68"/>
        <v>0</v>
      </c>
      <c r="V561" s="139">
        <f t="shared" si="68"/>
        <v>0</v>
      </c>
      <c r="W561" s="139">
        <f t="shared" si="68"/>
        <v>0</v>
      </c>
      <c r="X561" s="139">
        <f t="shared" si="68"/>
        <v>145940</v>
      </c>
      <c r="Y561" s="139">
        <f t="shared" si="68"/>
        <v>89898</v>
      </c>
      <c r="Z561" s="139">
        <f t="shared" si="68"/>
        <v>257844.4</v>
      </c>
      <c r="AA561" s="408">
        <f t="shared" si="65"/>
        <v>0</v>
      </c>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row>
    <row r="562" spans="1:27" ht="31.5" customHeight="1" hidden="1">
      <c r="A562" s="557"/>
      <c r="B562" s="512"/>
      <c r="C562" s="167" t="s">
        <v>763</v>
      </c>
      <c r="D562" s="217" t="s">
        <v>764</v>
      </c>
      <c r="E562" s="142">
        <v>1142.2</v>
      </c>
      <c r="F562" s="143">
        <f>100%-((E562-G562)/E562)</f>
        <v>0.075</v>
      </c>
      <c r="G562" s="142">
        <v>85.6</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63" customHeight="1" hidden="1">
      <c r="A563" s="557"/>
      <c r="B563" s="512"/>
      <c r="C563" s="167" t="s">
        <v>765</v>
      </c>
      <c r="D563" s="217" t="s">
        <v>766</v>
      </c>
      <c r="E563" s="142">
        <v>378.402</v>
      </c>
      <c r="F563" s="143">
        <f>100%-((E563-G563)/E563)</f>
        <v>1</v>
      </c>
      <c r="G563" s="142">
        <v>378.402</v>
      </c>
      <c r="H563" s="418"/>
      <c r="I563" s="144" t="e">
        <f>J563+K563+L563+M563+#REF!+#REF!</f>
        <v>#REF!</v>
      </c>
      <c r="J563" s="144"/>
      <c r="K563" s="144"/>
      <c r="L563" s="144"/>
      <c r="M563" s="144"/>
      <c r="N563" s="408"/>
      <c r="O563" s="408"/>
      <c r="P563" s="408"/>
      <c r="Q563" s="408"/>
      <c r="R563" s="408"/>
      <c r="S563" s="408"/>
      <c r="T563" s="408"/>
      <c r="U563" s="408"/>
      <c r="V563" s="408"/>
      <c r="W563" s="408"/>
      <c r="X563" s="408"/>
      <c r="Y563" s="408"/>
      <c r="Z563" s="408"/>
      <c r="AA563" s="408">
        <f t="shared" si="65"/>
        <v>0</v>
      </c>
    </row>
    <row r="564" spans="1:27" ht="47.25">
      <c r="A564" s="557"/>
      <c r="B564" s="512"/>
      <c r="C564" s="167" t="s">
        <v>1098</v>
      </c>
      <c r="D564" s="217" t="s">
        <v>767</v>
      </c>
      <c r="E564" s="142">
        <v>500</v>
      </c>
      <c r="F564" s="143">
        <f>100%-((E564-G564)/E564)</f>
        <v>1</v>
      </c>
      <c r="G564" s="142">
        <v>500</v>
      </c>
      <c r="H564" s="418">
        <v>3142</v>
      </c>
      <c r="I564" s="144">
        <v>7232.4</v>
      </c>
      <c r="J564" s="144"/>
      <c r="K564" s="144"/>
      <c r="L564" s="144">
        <v>7232.4</v>
      </c>
      <c r="M564" s="144"/>
      <c r="N564" s="408"/>
      <c r="O564" s="144">
        <v>7232.4</v>
      </c>
      <c r="P564" s="408"/>
      <c r="Q564" s="408"/>
      <c r="R564" s="408"/>
      <c r="S564" s="408"/>
      <c r="T564" s="408"/>
      <c r="U564" s="408"/>
      <c r="V564" s="408"/>
      <c r="W564" s="408"/>
      <c r="X564" s="408"/>
      <c r="Y564" s="408"/>
      <c r="Z564" s="144">
        <v>7232.4</v>
      </c>
      <c r="AA564" s="408">
        <f t="shared" si="65"/>
        <v>0</v>
      </c>
    </row>
    <row r="565" spans="1:27" ht="47.25">
      <c r="A565" s="560"/>
      <c r="B565" s="516"/>
      <c r="C565" s="167"/>
      <c r="D565" s="217" t="s">
        <v>888</v>
      </c>
      <c r="E565" s="142"/>
      <c r="F565" s="143"/>
      <c r="G565" s="142"/>
      <c r="H565" s="418">
        <v>3142</v>
      </c>
      <c r="I565" s="144">
        <v>486450</v>
      </c>
      <c r="J565" s="144"/>
      <c r="K565" s="144"/>
      <c r="L565" s="472">
        <v>486450</v>
      </c>
      <c r="M565" s="144"/>
      <c r="N565" s="408"/>
      <c r="O565" s="408"/>
      <c r="P565" s="408"/>
      <c r="Q565" s="408"/>
      <c r="R565" s="408"/>
      <c r="S565" s="408">
        <v>180512</v>
      </c>
      <c r="T565" s="408">
        <v>70100</v>
      </c>
      <c r="U565" s="408"/>
      <c r="V565" s="408"/>
      <c r="W565" s="408"/>
      <c r="X565" s="408">
        <v>145940</v>
      </c>
      <c r="Y565" s="408">
        <f>340510-180512-70100</f>
        <v>89898</v>
      </c>
      <c r="Z565" s="408">
        <f>180512+70100</f>
        <v>250612</v>
      </c>
      <c r="AA565" s="408">
        <f t="shared" si="65"/>
        <v>0</v>
      </c>
    </row>
    <row r="566" spans="1:27" ht="15.75">
      <c r="A566" s="258"/>
      <c r="B566" s="196"/>
      <c r="C566" s="135"/>
      <c r="D566" s="217"/>
      <c r="E566" s="142"/>
      <c r="F566" s="143"/>
      <c r="G566" s="142"/>
      <c r="H566" s="418"/>
      <c r="I566" s="144"/>
      <c r="J566" s="144"/>
      <c r="K566" s="144"/>
      <c r="L566" s="144"/>
      <c r="M566" s="144"/>
      <c r="N566" s="408"/>
      <c r="O566" s="408"/>
      <c r="P566" s="408"/>
      <c r="Q566" s="408"/>
      <c r="R566" s="408"/>
      <c r="S566" s="408"/>
      <c r="T566" s="408"/>
      <c r="U566" s="408"/>
      <c r="V566" s="408"/>
      <c r="W566" s="408"/>
      <c r="X566" s="408"/>
      <c r="Y566" s="408"/>
      <c r="Z566" s="408"/>
      <c r="AA566" s="408">
        <f t="shared" si="65"/>
        <v>0</v>
      </c>
    </row>
    <row r="567" spans="1:27" ht="18.75" customHeight="1">
      <c r="A567" s="233" t="s">
        <v>57</v>
      </c>
      <c r="B567" s="545" t="s">
        <v>768</v>
      </c>
      <c r="C567" s="545"/>
      <c r="D567" s="545"/>
      <c r="E567" s="193"/>
      <c r="F567" s="194"/>
      <c r="G567" s="193"/>
      <c r="H567" s="426"/>
      <c r="I567" s="132">
        <f aca="true" t="shared" si="69" ref="I567:Z567">I568+I588+I583+I584</f>
        <v>1308547.64</v>
      </c>
      <c r="J567" s="132">
        <f t="shared" si="69"/>
        <v>294362</v>
      </c>
      <c r="K567" s="132">
        <f t="shared" si="69"/>
        <v>0</v>
      </c>
      <c r="L567" s="132">
        <f t="shared" si="69"/>
        <v>1014185.64</v>
      </c>
      <c r="M567" s="132">
        <f t="shared" si="69"/>
        <v>0</v>
      </c>
      <c r="N567" s="132">
        <f t="shared" si="69"/>
        <v>0</v>
      </c>
      <c r="O567" s="132">
        <f t="shared" si="69"/>
        <v>208485.64</v>
      </c>
      <c r="P567" s="132">
        <f t="shared" si="69"/>
        <v>51429</v>
      </c>
      <c r="Q567" s="132">
        <f t="shared" si="69"/>
        <v>36895</v>
      </c>
      <c r="R567" s="132">
        <f t="shared" si="69"/>
        <v>41000</v>
      </c>
      <c r="S567" s="132">
        <f t="shared" si="69"/>
        <v>410000</v>
      </c>
      <c r="T567" s="132">
        <f t="shared" si="69"/>
        <v>82000</v>
      </c>
      <c r="U567" s="132">
        <f t="shared" si="69"/>
        <v>50038</v>
      </c>
      <c r="V567" s="132">
        <f t="shared" si="69"/>
        <v>26000</v>
      </c>
      <c r="W567" s="132">
        <f t="shared" si="69"/>
        <v>291200</v>
      </c>
      <c r="X567" s="132">
        <f t="shared" si="69"/>
        <v>74700</v>
      </c>
      <c r="Y567" s="132">
        <f t="shared" si="69"/>
        <v>36800</v>
      </c>
      <c r="Z567" s="132">
        <f t="shared" si="69"/>
        <v>337208.44</v>
      </c>
      <c r="AA567" s="408">
        <f t="shared" si="65"/>
        <v>542639.2</v>
      </c>
    </row>
    <row r="568" spans="1:27" ht="15.75" customHeight="1">
      <c r="A568" s="546" t="s">
        <v>1154</v>
      </c>
      <c r="B568" s="549" t="s">
        <v>1599</v>
      </c>
      <c r="C568" s="195"/>
      <c r="D568" s="216" t="s">
        <v>1597</v>
      </c>
      <c r="E568" s="158"/>
      <c r="F568" s="159"/>
      <c r="G568" s="158"/>
      <c r="H568" s="420"/>
      <c r="I568" s="139">
        <f>SUM(I571:I574)</f>
        <v>177605.64</v>
      </c>
      <c r="J568" s="139">
        <f aca="true" t="shared" si="70" ref="J568:Z568">SUM(J569:J578)</f>
        <v>0</v>
      </c>
      <c r="K568" s="139">
        <f t="shared" si="70"/>
        <v>0</v>
      </c>
      <c r="L568" s="139">
        <f t="shared" si="70"/>
        <v>177605.64</v>
      </c>
      <c r="M568" s="139">
        <f t="shared" si="70"/>
        <v>0</v>
      </c>
      <c r="N568" s="139">
        <f t="shared" si="70"/>
        <v>0</v>
      </c>
      <c r="O568" s="139">
        <f t="shared" si="70"/>
        <v>177605.64</v>
      </c>
      <c r="P568" s="139">
        <f t="shared" si="70"/>
        <v>0</v>
      </c>
      <c r="Q568" s="139">
        <f t="shared" si="70"/>
        <v>0</v>
      </c>
      <c r="R568" s="139">
        <f t="shared" si="70"/>
        <v>0</v>
      </c>
      <c r="S568" s="139">
        <f t="shared" si="70"/>
        <v>0</v>
      </c>
      <c r="T568" s="139">
        <f t="shared" si="70"/>
        <v>0</v>
      </c>
      <c r="U568" s="139">
        <f t="shared" si="70"/>
        <v>0</v>
      </c>
      <c r="V568" s="139">
        <f t="shared" si="70"/>
        <v>0</v>
      </c>
      <c r="W568" s="139">
        <f t="shared" si="70"/>
        <v>0</v>
      </c>
      <c r="X568" s="139">
        <f t="shared" si="70"/>
        <v>0</v>
      </c>
      <c r="Y568" s="139">
        <f t="shared" si="70"/>
        <v>0</v>
      </c>
      <c r="Z568" s="139">
        <f t="shared" si="70"/>
        <v>173638.64</v>
      </c>
      <c r="AA568" s="408">
        <f t="shared" si="65"/>
        <v>3967</v>
      </c>
    </row>
    <row r="569" spans="1:27" ht="31.5" customHeight="1" hidden="1">
      <c r="A569" s="547"/>
      <c r="B569" s="550"/>
      <c r="C569" s="167" t="s">
        <v>769</v>
      </c>
      <c r="D569" s="208" t="s">
        <v>770</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15.75" customHeight="1" hidden="1">
      <c r="A570" s="547"/>
      <c r="B570" s="550"/>
      <c r="C570" s="167" t="s">
        <v>1223</v>
      </c>
      <c r="D570" s="208" t="s">
        <v>1224</v>
      </c>
      <c r="E570" s="142"/>
      <c r="F570" s="143"/>
      <c r="G570" s="142"/>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5"/>
        <v>0</v>
      </c>
    </row>
    <row r="571" spans="1:27" ht="31.5">
      <c r="A571" s="547"/>
      <c r="B571" s="550"/>
      <c r="C571" s="167" t="s">
        <v>370</v>
      </c>
      <c r="D571" s="208" t="s">
        <v>1538</v>
      </c>
      <c r="E571" s="142"/>
      <c r="F571" s="143"/>
      <c r="G571" s="142"/>
      <c r="H571" s="418">
        <v>3110</v>
      </c>
      <c r="I571" s="144">
        <v>86738.64</v>
      </c>
      <c r="J571" s="144"/>
      <c r="K571" s="144"/>
      <c r="L571" s="144">
        <v>86738.64</v>
      </c>
      <c r="M571" s="144"/>
      <c r="N571" s="408"/>
      <c r="O571" s="144">
        <v>86738.64</v>
      </c>
      <c r="P571" s="408"/>
      <c r="Q571" s="408"/>
      <c r="R571" s="408"/>
      <c r="S571" s="408"/>
      <c r="T571" s="408"/>
      <c r="U571" s="408"/>
      <c r="V571" s="408"/>
      <c r="W571" s="408"/>
      <c r="X571" s="408"/>
      <c r="Y571" s="408"/>
      <c r="Z571" s="144">
        <v>86738.64</v>
      </c>
      <c r="AA571" s="408">
        <f t="shared" si="65"/>
        <v>0</v>
      </c>
    </row>
    <row r="572" spans="1:27" ht="47.25" customHeight="1" hidden="1">
      <c r="A572" s="547"/>
      <c r="B572" s="550"/>
      <c r="C572" s="167" t="s">
        <v>1539</v>
      </c>
      <c r="D572" s="208" t="s">
        <v>249</v>
      </c>
      <c r="E572" s="142"/>
      <c r="F572" s="143"/>
      <c r="G572" s="142"/>
      <c r="H572" s="418">
        <v>3110</v>
      </c>
      <c r="I572" s="144">
        <v>0</v>
      </c>
      <c r="J572" s="144"/>
      <c r="K572" s="144"/>
      <c r="L572" s="144"/>
      <c r="M572" s="144"/>
      <c r="N572" s="408"/>
      <c r="O572" s="144">
        <v>0</v>
      </c>
      <c r="P572" s="408"/>
      <c r="Q572" s="408"/>
      <c r="R572" s="408"/>
      <c r="S572" s="408"/>
      <c r="T572" s="408"/>
      <c r="U572" s="408"/>
      <c r="V572" s="408"/>
      <c r="W572" s="408"/>
      <c r="X572" s="408"/>
      <c r="Y572" s="408"/>
      <c r="Z572" s="144">
        <v>0</v>
      </c>
      <c r="AA572" s="408">
        <f t="shared" si="65"/>
        <v>0</v>
      </c>
    </row>
    <row r="573" spans="1:27" ht="47.25">
      <c r="A573" s="547"/>
      <c r="B573" s="550"/>
      <c r="C573" s="167"/>
      <c r="D573" s="208" t="s">
        <v>250</v>
      </c>
      <c r="E573" s="142"/>
      <c r="F573" s="143"/>
      <c r="G573" s="142"/>
      <c r="H573" s="418">
        <v>3110</v>
      </c>
      <c r="I573" s="144">
        <v>86900</v>
      </c>
      <c r="J573" s="144"/>
      <c r="K573" s="144"/>
      <c r="L573" s="144">
        <v>86900</v>
      </c>
      <c r="M573" s="144"/>
      <c r="N573" s="408"/>
      <c r="O573" s="144">
        <v>86900</v>
      </c>
      <c r="P573" s="408"/>
      <c r="Q573" s="408"/>
      <c r="R573" s="408"/>
      <c r="S573" s="408"/>
      <c r="T573" s="408"/>
      <c r="U573" s="408"/>
      <c r="V573" s="408"/>
      <c r="W573" s="408"/>
      <c r="X573" s="408"/>
      <c r="Y573" s="408"/>
      <c r="Z573" s="144">
        <v>86900</v>
      </c>
      <c r="AA573" s="408">
        <f t="shared" si="65"/>
        <v>0</v>
      </c>
    </row>
    <row r="574" spans="1:27" ht="47.25">
      <c r="A574" s="547"/>
      <c r="B574" s="550"/>
      <c r="C574" s="148" t="s">
        <v>251</v>
      </c>
      <c r="D574" s="141" t="s">
        <v>252</v>
      </c>
      <c r="E574" s="142"/>
      <c r="F574" s="143"/>
      <c r="G574" s="142"/>
      <c r="H574" s="418">
        <v>3110</v>
      </c>
      <c r="I574" s="144">
        <v>3967</v>
      </c>
      <c r="J574" s="144"/>
      <c r="K574" s="144"/>
      <c r="L574" s="144">
        <v>3967</v>
      </c>
      <c r="M574" s="144"/>
      <c r="N574" s="408"/>
      <c r="O574" s="144">
        <v>3967</v>
      </c>
      <c r="P574" s="408"/>
      <c r="Q574" s="408"/>
      <c r="R574" s="408"/>
      <c r="S574" s="408"/>
      <c r="T574" s="408"/>
      <c r="U574" s="408"/>
      <c r="V574" s="408"/>
      <c r="W574" s="408"/>
      <c r="X574" s="408"/>
      <c r="Y574" s="408"/>
      <c r="Z574" s="144">
        <f>3967-3967</f>
        <v>0</v>
      </c>
      <c r="AA574" s="408">
        <f t="shared" si="65"/>
        <v>3967</v>
      </c>
    </row>
    <row r="575" spans="1:27" ht="31.5" hidden="1">
      <c r="A575" s="547"/>
      <c r="B575" s="550"/>
      <c r="C575" s="148"/>
      <c r="D575" s="259" t="s">
        <v>253</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7"/>
      <c r="B576" s="550"/>
      <c r="C576" s="148"/>
      <c r="D576" s="14" t="s">
        <v>892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63" hidden="1">
      <c r="A577" s="547"/>
      <c r="B577" s="550"/>
      <c r="C577" s="148"/>
      <c r="D577" s="14" t="s">
        <v>893</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31.5" hidden="1">
      <c r="A578" s="548"/>
      <c r="B578" s="551"/>
      <c r="C578" s="148"/>
      <c r="D578" s="141" t="s">
        <v>254</v>
      </c>
      <c r="E578" s="142"/>
      <c r="F578" s="143"/>
      <c r="G578" s="142"/>
      <c r="H578" s="418"/>
      <c r="I578" s="144">
        <v>0</v>
      </c>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5.75" hidden="1">
      <c r="A582" s="260"/>
      <c r="B582" s="227"/>
      <c r="C582" s="148"/>
      <c r="D582" s="141"/>
      <c r="E582" s="142"/>
      <c r="F582" s="143"/>
      <c r="G582" s="142"/>
      <c r="H582" s="418"/>
      <c r="I582" s="144"/>
      <c r="J582" s="144"/>
      <c r="K582" s="144"/>
      <c r="L582" s="144"/>
      <c r="M582" s="144"/>
      <c r="N582" s="408"/>
      <c r="O582" s="408"/>
      <c r="P582" s="408"/>
      <c r="Q582" s="408"/>
      <c r="R582" s="408"/>
      <c r="S582" s="408"/>
      <c r="T582" s="408"/>
      <c r="U582" s="408"/>
      <c r="V582" s="408"/>
      <c r="W582" s="408"/>
      <c r="X582" s="408"/>
      <c r="Y582" s="408"/>
      <c r="Z582" s="408"/>
      <c r="AA582" s="408">
        <f t="shared" si="65"/>
        <v>0</v>
      </c>
    </row>
    <row r="583" spans="1:27" ht="161.25" customHeight="1">
      <c r="A583" s="157" t="s">
        <v>128</v>
      </c>
      <c r="B583" s="481" t="s">
        <v>255</v>
      </c>
      <c r="C583" s="135"/>
      <c r="D583" s="141" t="s">
        <v>256</v>
      </c>
      <c r="E583" s="172">
        <v>281.21</v>
      </c>
      <c r="F583" s="229">
        <f>100%-((E583-G583)/E583)</f>
        <v>1</v>
      </c>
      <c r="G583" s="172">
        <v>281.21</v>
      </c>
      <c r="H583" s="418">
        <v>3240</v>
      </c>
      <c r="I583" s="144">
        <v>294362</v>
      </c>
      <c r="J583" s="144">
        <v>294362</v>
      </c>
      <c r="K583" s="463"/>
      <c r="L583" s="144"/>
      <c r="M583" s="144"/>
      <c r="N583" s="408"/>
      <c r="O583" s="408"/>
      <c r="P583" s="408">
        <v>51429</v>
      </c>
      <c r="Q583" s="408">
        <v>36895</v>
      </c>
      <c r="R583" s="408">
        <v>10000</v>
      </c>
      <c r="S583" s="408">
        <v>50000</v>
      </c>
      <c r="T583" s="408">
        <v>70000</v>
      </c>
      <c r="U583" s="408">
        <v>50038</v>
      </c>
      <c r="V583" s="408">
        <v>26000</v>
      </c>
      <c r="W583" s="408"/>
      <c r="X583" s="408"/>
      <c r="Y583" s="408"/>
      <c r="Z583" s="408">
        <f>51428.9+1584+2376+27107.7+50193.2</f>
        <v>132689.8</v>
      </c>
      <c r="AA583" s="408">
        <f t="shared" si="65"/>
        <v>135672.2</v>
      </c>
    </row>
    <row r="584" spans="1:27" ht="15.75">
      <c r="A584" s="546" t="s">
        <v>1153</v>
      </c>
      <c r="B584" s="549" t="s">
        <v>526</v>
      </c>
      <c r="C584" s="167" t="s">
        <v>527</v>
      </c>
      <c r="D584" s="136" t="s">
        <v>1597</v>
      </c>
      <c r="E584" s="158"/>
      <c r="F584" s="159"/>
      <c r="G584" s="158"/>
      <c r="H584" s="420"/>
      <c r="I584" s="139">
        <f>SUM(I585:I587)</f>
        <v>283000</v>
      </c>
      <c r="J584" s="139">
        <f>SUM(J585:J587)</f>
        <v>0</v>
      </c>
      <c r="K584" s="139">
        <f>SUM(K585:K587)</f>
        <v>0</v>
      </c>
      <c r="L584" s="139">
        <f>SUM(L585:L587)</f>
        <v>603000</v>
      </c>
      <c r="M584" s="139">
        <f>SUM(M585:M587)</f>
        <v>0</v>
      </c>
      <c r="N584" s="139">
        <f aca="true" t="shared" si="71" ref="N584:Z584">SUM(N585:N587)</f>
        <v>0</v>
      </c>
      <c r="O584" s="139">
        <f t="shared" si="71"/>
        <v>0</v>
      </c>
      <c r="P584" s="139">
        <f t="shared" si="71"/>
        <v>0</v>
      </c>
      <c r="Q584" s="139">
        <f t="shared" si="71"/>
        <v>0</v>
      </c>
      <c r="R584" s="139">
        <f t="shared" si="71"/>
        <v>0</v>
      </c>
      <c r="S584" s="139">
        <f t="shared" si="71"/>
        <v>0</v>
      </c>
      <c r="T584" s="139">
        <f t="shared" si="71"/>
        <v>0</v>
      </c>
      <c r="U584" s="139">
        <f t="shared" si="71"/>
        <v>0</v>
      </c>
      <c r="V584" s="139">
        <f t="shared" si="71"/>
        <v>0</v>
      </c>
      <c r="W584" s="139">
        <f t="shared" si="71"/>
        <v>283000</v>
      </c>
      <c r="X584" s="139">
        <f t="shared" si="71"/>
        <v>0</v>
      </c>
      <c r="Y584" s="139">
        <f t="shared" si="71"/>
        <v>0</v>
      </c>
      <c r="Z584" s="139">
        <f t="shared" si="71"/>
        <v>0</v>
      </c>
      <c r="AA584" s="408">
        <f t="shared" si="65"/>
        <v>0</v>
      </c>
    </row>
    <row r="585" spans="1:27" s="362" customFormat="1" ht="31.5">
      <c r="A585" s="547"/>
      <c r="B585" s="550"/>
      <c r="C585" s="167"/>
      <c r="D585" s="14" t="s">
        <v>1011</v>
      </c>
      <c r="E585" s="142"/>
      <c r="F585" s="143"/>
      <c r="G585" s="142"/>
      <c r="H585" s="418">
        <v>3110</v>
      </c>
      <c r="I585" s="49">
        <v>283000</v>
      </c>
      <c r="J585" s="144"/>
      <c r="K585" s="144"/>
      <c r="L585" s="49">
        <v>283000</v>
      </c>
      <c r="M585" s="144"/>
      <c r="N585" s="408"/>
      <c r="O585" s="408"/>
      <c r="P585" s="408"/>
      <c r="Q585" s="408"/>
      <c r="R585" s="408"/>
      <c r="S585" s="408"/>
      <c r="T585" s="408"/>
      <c r="U585" s="408"/>
      <c r="V585" s="408"/>
      <c r="W585" s="408">
        <v>283000</v>
      </c>
      <c r="X585" s="408"/>
      <c r="Y585" s="408"/>
      <c r="Z585" s="408"/>
      <c r="AA585" s="408">
        <f t="shared" si="65"/>
        <v>0</v>
      </c>
    </row>
    <row r="586" spans="1:27" s="362" customFormat="1" ht="63" hidden="1">
      <c r="A586" s="547"/>
      <c r="B586" s="550"/>
      <c r="C586" s="167"/>
      <c r="D586" s="14" t="s">
        <v>1012</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s="362" customFormat="1" ht="63" hidden="1">
      <c r="A587" s="548"/>
      <c r="B587" s="551"/>
      <c r="C587" s="167"/>
      <c r="D587" s="14" t="s">
        <v>1405</v>
      </c>
      <c r="E587" s="142"/>
      <c r="F587" s="143"/>
      <c r="G587" s="142"/>
      <c r="H587" s="418">
        <v>3110</v>
      </c>
      <c r="I587" s="49"/>
      <c r="J587" s="144"/>
      <c r="K587" s="144"/>
      <c r="L587" s="49">
        <v>160000</v>
      </c>
      <c r="M587" s="144"/>
      <c r="N587" s="408"/>
      <c r="O587" s="408"/>
      <c r="P587" s="408"/>
      <c r="Q587" s="408"/>
      <c r="R587" s="408"/>
      <c r="S587" s="408"/>
      <c r="T587" s="408"/>
      <c r="U587" s="408"/>
      <c r="V587" s="408"/>
      <c r="W587" s="408"/>
      <c r="X587" s="408"/>
      <c r="Y587" s="408"/>
      <c r="Z587" s="408"/>
      <c r="AA587" s="408">
        <f t="shared" si="65"/>
        <v>0</v>
      </c>
    </row>
    <row r="588" spans="1:27" ht="15.75" customHeight="1">
      <c r="A588" s="546" t="s">
        <v>1364</v>
      </c>
      <c r="B588" s="549" t="s">
        <v>528</v>
      </c>
      <c r="C588" s="195"/>
      <c r="D588" s="216" t="s">
        <v>1597</v>
      </c>
      <c r="E588" s="158"/>
      <c r="F588" s="159"/>
      <c r="G588" s="158"/>
      <c r="H588" s="420"/>
      <c r="I588" s="139">
        <f>SUM(I593:I604)</f>
        <v>553580</v>
      </c>
      <c r="J588" s="139">
        <f aca="true" t="shared" si="72" ref="J588:Z588">SUM(J593:J604)</f>
        <v>0</v>
      </c>
      <c r="K588" s="139">
        <f t="shared" si="72"/>
        <v>0</v>
      </c>
      <c r="L588" s="139">
        <f t="shared" si="72"/>
        <v>233580</v>
      </c>
      <c r="M588" s="139">
        <f t="shared" si="72"/>
        <v>0</v>
      </c>
      <c r="N588" s="139">
        <f t="shared" si="72"/>
        <v>0</v>
      </c>
      <c r="O588" s="139">
        <f t="shared" si="72"/>
        <v>30880</v>
      </c>
      <c r="P588" s="139">
        <f t="shared" si="72"/>
        <v>0</v>
      </c>
      <c r="Q588" s="139">
        <f t="shared" si="72"/>
        <v>0</v>
      </c>
      <c r="R588" s="139">
        <f t="shared" si="72"/>
        <v>31000</v>
      </c>
      <c r="S588" s="139">
        <f t="shared" si="72"/>
        <v>360000</v>
      </c>
      <c r="T588" s="139">
        <f t="shared" si="72"/>
        <v>12000</v>
      </c>
      <c r="U588" s="139">
        <f t="shared" si="72"/>
        <v>0</v>
      </c>
      <c r="V588" s="139">
        <f t="shared" si="72"/>
        <v>0</v>
      </c>
      <c r="W588" s="139">
        <f t="shared" si="72"/>
        <v>8200</v>
      </c>
      <c r="X588" s="139">
        <f t="shared" si="72"/>
        <v>74700</v>
      </c>
      <c r="Y588" s="139">
        <f t="shared" si="72"/>
        <v>36800</v>
      </c>
      <c r="Z588" s="139">
        <f t="shared" si="72"/>
        <v>30880</v>
      </c>
      <c r="AA588" s="408">
        <f t="shared" si="65"/>
        <v>403000</v>
      </c>
    </row>
    <row r="589" spans="1:27" ht="47.25" customHeight="1" hidden="1">
      <c r="A589" s="547"/>
      <c r="B589" s="550"/>
      <c r="C589" s="167" t="s">
        <v>529</v>
      </c>
      <c r="D589" s="141" t="s">
        <v>530</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31.5" customHeight="1" hidden="1">
      <c r="A590" s="547"/>
      <c r="B590" s="550"/>
      <c r="C590" s="167" t="s">
        <v>531</v>
      </c>
      <c r="D590" s="208" t="s">
        <v>186</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7"/>
      <c r="B591" s="550"/>
      <c r="C591" s="167" t="s">
        <v>187</v>
      </c>
      <c r="D591" s="208" t="s">
        <v>970</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ustomHeight="1" hidden="1">
      <c r="A592" s="547"/>
      <c r="B592" s="550"/>
      <c r="C592" s="167" t="s">
        <v>971</v>
      </c>
      <c r="D592" s="141" t="s">
        <v>972</v>
      </c>
      <c r="E592" s="142"/>
      <c r="F592" s="143"/>
      <c r="G592" s="142"/>
      <c r="H592" s="418"/>
      <c r="I592" s="144" t="e">
        <f>J592+K592+L592+M592+#REF!+#REF!</f>
        <v>#REF!</v>
      </c>
      <c r="J592" s="144"/>
      <c r="K592" s="144"/>
      <c r="L592" s="144"/>
      <c r="M592" s="144"/>
      <c r="N592" s="408"/>
      <c r="O592" s="408"/>
      <c r="P592" s="408"/>
      <c r="Q592" s="408"/>
      <c r="R592" s="408"/>
      <c r="S592" s="408"/>
      <c r="T592" s="408"/>
      <c r="U592" s="408"/>
      <c r="V592" s="408"/>
      <c r="W592" s="408"/>
      <c r="X592" s="408"/>
      <c r="Y592" s="408"/>
      <c r="Z592" s="408"/>
      <c r="AA592" s="408">
        <f t="shared" si="65"/>
        <v>0</v>
      </c>
    </row>
    <row r="593" spans="1:27" ht="47.25">
      <c r="A593" s="547"/>
      <c r="B593" s="550"/>
      <c r="C593" s="167" t="s">
        <v>973</v>
      </c>
      <c r="D593" s="141" t="s">
        <v>584</v>
      </c>
      <c r="E593" s="142"/>
      <c r="F593" s="143"/>
      <c r="G593" s="142"/>
      <c r="H593" s="418">
        <v>3110</v>
      </c>
      <c r="I593" s="144">
        <v>6400</v>
      </c>
      <c r="J593" s="144"/>
      <c r="K593" s="144"/>
      <c r="L593" s="144">
        <v>6400</v>
      </c>
      <c r="M593" s="144"/>
      <c r="N593" s="408"/>
      <c r="O593" s="144">
        <v>6400</v>
      </c>
      <c r="P593" s="408"/>
      <c r="Q593" s="408"/>
      <c r="R593" s="408"/>
      <c r="S593" s="408"/>
      <c r="T593" s="408"/>
      <c r="U593" s="408"/>
      <c r="V593" s="408"/>
      <c r="W593" s="408"/>
      <c r="X593" s="408"/>
      <c r="Y593" s="408"/>
      <c r="Z593" s="144">
        <v>6400</v>
      </c>
      <c r="AA593" s="408">
        <f t="shared" si="65"/>
        <v>0</v>
      </c>
    </row>
    <row r="594" spans="1:27" ht="31.5" customHeight="1" hidden="1">
      <c r="A594" s="547"/>
      <c r="B594" s="550"/>
      <c r="C594" s="167"/>
      <c r="D594" s="208" t="s">
        <v>585</v>
      </c>
      <c r="E594" s="142"/>
      <c r="F594" s="143"/>
      <c r="G594" s="142"/>
      <c r="H594" s="418">
        <v>3110</v>
      </c>
      <c r="I594" s="144">
        <v>0</v>
      </c>
      <c r="J594" s="144"/>
      <c r="K594" s="144"/>
      <c r="L594" s="144"/>
      <c r="M594" s="144"/>
      <c r="N594" s="408"/>
      <c r="O594" s="144">
        <v>0</v>
      </c>
      <c r="P594" s="408"/>
      <c r="Q594" s="408"/>
      <c r="R594" s="408"/>
      <c r="S594" s="408"/>
      <c r="T594" s="408"/>
      <c r="U594" s="408"/>
      <c r="V594" s="408"/>
      <c r="W594" s="408"/>
      <c r="X594" s="408"/>
      <c r="Y594" s="408"/>
      <c r="Z594" s="144">
        <v>0</v>
      </c>
      <c r="AA594" s="408">
        <f t="shared" si="65"/>
        <v>0</v>
      </c>
    </row>
    <row r="595" spans="1:27" ht="47.25">
      <c r="A595" s="547"/>
      <c r="B595" s="550"/>
      <c r="C595" s="167" t="s">
        <v>586</v>
      </c>
      <c r="D595" s="141" t="s">
        <v>537</v>
      </c>
      <c r="E595" s="142"/>
      <c r="F595" s="143"/>
      <c r="G595" s="142"/>
      <c r="H595" s="418">
        <v>3110</v>
      </c>
      <c r="I595" s="144">
        <v>24480</v>
      </c>
      <c r="J595" s="144"/>
      <c r="K595" s="144"/>
      <c r="L595" s="144">
        <v>24480</v>
      </c>
      <c r="M595" s="144"/>
      <c r="N595" s="408"/>
      <c r="O595" s="144">
        <v>24480</v>
      </c>
      <c r="P595" s="408"/>
      <c r="Q595" s="408"/>
      <c r="R595" s="408"/>
      <c r="S595" s="408"/>
      <c r="T595" s="408"/>
      <c r="U595" s="408"/>
      <c r="V595" s="408"/>
      <c r="W595" s="408"/>
      <c r="X595" s="408"/>
      <c r="Y595" s="408"/>
      <c r="Z595" s="144">
        <v>24480</v>
      </c>
      <c r="AA595" s="408">
        <f t="shared" si="65"/>
        <v>0</v>
      </c>
    </row>
    <row r="596" spans="1:27" ht="31.5">
      <c r="A596" s="547"/>
      <c r="B596" s="550"/>
      <c r="C596" s="167"/>
      <c r="D596" s="14" t="s">
        <v>894</v>
      </c>
      <c r="E596" s="142"/>
      <c r="F596" s="143"/>
      <c r="G596" s="142"/>
      <c r="H596" s="418">
        <v>3110</v>
      </c>
      <c r="I596" s="144">
        <v>82900</v>
      </c>
      <c r="J596" s="144"/>
      <c r="K596" s="144"/>
      <c r="L596" s="372">
        <v>82900</v>
      </c>
      <c r="M596" s="144"/>
      <c r="N596" s="408"/>
      <c r="O596" s="408"/>
      <c r="P596" s="408"/>
      <c r="Q596" s="408"/>
      <c r="R596" s="408"/>
      <c r="S596" s="408"/>
      <c r="T596" s="408">
        <f>82900-82900</f>
        <v>0</v>
      </c>
      <c r="U596" s="408"/>
      <c r="V596" s="408"/>
      <c r="W596" s="408">
        <v>8200</v>
      </c>
      <c r="X596" s="408">
        <v>74700</v>
      </c>
      <c r="Y596" s="408"/>
      <c r="Z596" s="408"/>
      <c r="AA596" s="408">
        <f t="shared" si="65"/>
        <v>0</v>
      </c>
    </row>
    <row r="597" spans="1:27" ht="31.5">
      <c r="A597" s="547"/>
      <c r="B597" s="550"/>
      <c r="C597" s="167"/>
      <c r="D597" s="14" t="s">
        <v>895</v>
      </c>
      <c r="E597" s="142"/>
      <c r="F597" s="143"/>
      <c r="G597" s="142"/>
      <c r="H597" s="418">
        <v>3110</v>
      </c>
      <c r="I597" s="144">
        <v>14000</v>
      </c>
      <c r="J597" s="144"/>
      <c r="K597" s="144"/>
      <c r="L597" s="372">
        <v>14000</v>
      </c>
      <c r="M597" s="144"/>
      <c r="N597" s="408"/>
      <c r="O597" s="408"/>
      <c r="P597" s="408"/>
      <c r="Q597" s="408"/>
      <c r="R597" s="408"/>
      <c r="S597" s="408"/>
      <c r="T597" s="408"/>
      <c r="U597" s="408">
        <f>14000-14000</f>
        <v>0</v>
      </c>
      <c r="V597" s="408"/>
      <c r="W597" s="408"/>
      <c r="X597" s="408"/>
      <c r="Y597" s="408">
        <v>14000</v>
      </c>
      <c r="Z597" s="408"/>
      <c r="AA597" s="408">
        <f aca="true" t="shared" si="73" ref="AA597:AA660">N597+O597+P597+Q597+R597+S597+T597+U597-Z597</f>
        <v>0</v>
      </c>
    </row>
    <row r="598" spans="1:27" ht="31.5">
      <c r="A598" s="547"/>
      <c r="B598" s="550"/>
      <c r="C598" s="167"/>
      <c r="D598" s="262" t="s">
        <v>896</v>
      </c>
      <c r="E598" s="142"/>
      <c r="F598" s="143"/>
      <c r="G598" s="142"/>
      <c r="H598" s="418">
        <v>3110</v>
      </c>
      <c r="I598" s="144">
        <v>40000</v>
      </c>
      <c r="J598" s="144"/>
      <c r="K598" s="144"/>
      <c r="L598" s="372">
        <v>40000</v>
      </c>
      <c r="M598" s="144"/>
      <c r="N598" s="408"/>
      <c r="O598" s="408"/>
      <c r="P598" s="408"/>
      <c r="Q598" s="408"/>
      <c r="R598" s="408"/>
      <c r="S598" s="408">
        <v>40000</v>
      </c>
      <c r="T598" s="408"/>
      <c r="U598" s="408"/>
      <c r="V598" s="408"/>
      <c r="W598" s="408"/>
      <c r="X598" s="408"/>
      <c r="Y598" s="408"/>
      <c r="Z598" s="408"/>
      <c r="AA598" s="408">
        <f t="shared" si="73"/>
        <v>40000</v>
      </c>
    </row>
    <row r="599" spans="1:27" ht="31.5">
      <c r="A599" s="547"/>
      <c r="B599" s="550"/>
      <c r="C599" s="167"/>
      <c r="D599" s="262" t="s">
        <v>845</v>
      </c>
      <c r="E599" s="142"/>
      <c r="F599" s="143"/>
      <c r="G599" s="142"/>
      <c r="H599" s="418">
        <v>3110</v>
      </c>
      <c r="I599" s="144">
        <v>31000</v>
      </c>
      <c r="J599" s="144"/>
      <c r="K599" s="144"/>
      <c r="L599" s="372">
        <v>31000</v>
      </c>
      <c r="M599" s="144"/>
      <c r="N599" s="408"/>
      <c r="O599" s="408"/>
      <c r="P599" s="408"/>
      <c r="Q599" s="408"/>
      <c r="R599" s="408">
        <f>31000-10000</f>
        <v>21000</v>
      </c>
      <c r="S599" s="408"/>
      <c r="T599" s="408"/>
      <c r="U599" s="408"/>
      <c r="V599" s="408"/>
      <c r="W599" s="408"/>
      <c r="X599" s="408"/>
      <c r="Y599" s="408">
        <v>10000</v>
      </c>
      <c r="Z599" s="408"/>
      <c r="AA599" s="408">
        <f t="shared" si="73"/>
        <v>21000</v>
      </c>
    </row>
    <row r="600" spans="1:27" ht="63">
      <c r="A600" s="547"/>
      <c r="B600" s="550"/>
      <c r="C600" s="167"/>
      <c r="D600" s="262" t="s">
        <v>71</v>
      </c>
      <c r="E600" s="142"/>
      <c r="F600" s="143"/>
      <c r="G600" s="142"/>
      <c r="H600" s="418">
        <v>3110</v>
      </c>
      <c r="I600" s="144">
        <v>12000</v>
      </c>
      <c r="J600" s="144"/>
      <c r="K600" s="144"/>
      <c r="L600" s="372">
        <v>12000</v>
      </c>
      <c r="M600" s="144"/>
      <c r="N600" s="408"/>
      <c r="O600" s="408"/>
      <c r="P600" s="408"/>
      <c r="Q600" s="408"/>
      <c r="R600" s="408"/>
      <c r="S600" s="408"/>
      <c r="T600" s="408">
        <v>12000</v>
      </c>
      <c r="U600" s="408"/>
      <c r="V600" s="408"/>
      <c r="W600" s="408"/>
      <c r="X600" s="408"/>
      <c r="Y600" s="408"/>
      <c r="Z600" s="408"/>
      <c r="AA600" s="408">
        <f t="shared" si="73"/>
        <v>12000</v>
      </c>
    </row>
    <row r="601" spans="1:27" ht="48" customHeight="1">
      <c r="A601" s="547"/>
      <c r="B601" s="550"/>
      <c r="C601" s="167"/>
      <c r="D601" s="262" t="s">
        <v>72</v>
      </c>
      <c r="E601" s="142"/>
      <c r="F601" s="143"/>
      <c r="G601" s="142"/>
      <c r="H601" s="418">
        <v>3110</v>
      </c>
      <c r="I601" s="144">
        <v>12800</v>
      </c>
      <c r="J601" s="144"/>
      <c r="K601" s="144"/>
      <c r="L601" s="372">
        <v>12800</v>
      </c>
      <c r="M601" s="144"/>
      <c r="N601" s="408"/>
      <c r="O601" s="408"/>
      <c r="P601" s="408"/>
      <c r="Q601" s="408"/>
      <c r="R601" s="408"/>
      <c r="S601" s="408"/>
      <c r="T601" s="408"/>
      <c r="U601" s="408">
        <f>12800-12800</f>
        <v>0</v>
      </c>
      <c r="V601" s="408"/>
      <c r="W601" s="408"/>
      <c r="X601" s="408"/>
      <c r="Y601" s="408">
        <v>12800</v>
      </c>
      <c r="Z601" s="408"/>
      <c r="AA601" s="408">
        <f t="shared" si="73"/>
        <v>0</v>
      </c>
    </row>
    <row r="602" spans="1:27" ht="31.5">
      <c r="A602" s="547"/>
      <c r="B602" s="550"/>
      <c r="C602" s="167"/>
      <c r="D602" s="263" t="s">
        <v>73</v>
      </c>
      <c r="E602" s="142"/>
      <c r="F602" s="143"/>
      <c r="G602" s="142"/>
      <c r="H602" s="418">
        <v>3110</v>
      </c>
      <c r="I602" s="144">
        <v>10000</v>
      </c>
      <c r="J602" s="144"/>
      <c r="K602" s="144"/>
      <c r="L602" s="372">
        <v>10000</v>
      </c>
      <c r="M602" s="144"/>
      <c r="N602" s="408"/>
      <c r="O602" s="408"/>
      <c r="P602" s="408"/>
      <c r="Q602" s="408"/>
      <c r="R602" s="408">
        <f>10000-10000+10000</f>
        <v>10000</v>
      </c>
      <c r="S602" s="408"/>
      <c r="T602" s="408"/>
      <c r="U602" s="408"/>
      <c r="V602" s="408"/>
      <c r="W602" s="408"/>
      <c r="X602" s="408"/>
      <c r="Y602" s="408">
        <f>10000-10000</f>
        <v>0</v>
      </c>
      <c r="Z602" s="408"/>
      <c r="AA602" s="408">
        <f t="shared" si="73"/>
        <v>10000</v>
      </c>
    </row>
    <row r="603" spans="1:27" ht="63">
      <c r="A603" s="547"/>
      <c r="B603" s="550"/>
      <c r="C603" s="167"/>
      <c r="D603" s="263" t="s">
        <v>1012</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63">
      <c r="A604" s="548"/>
      <c r="B604" s="551"/>
      <c r="C604" s="167"/>
      <c r="D604" s="263" t="s">
        <v>1405</v>
      </c>
      <c r="E604" s="142"/>
      <c r="F604" s="143"/>
      <c r="G604" s="142"/>
      <c r="H604" s="418">
        <v>3110</v>
      </c>
      <c r="I604" s="144">
        <v>160000</v>
      </c>
      <c r="J604" s="144"/>
      <c r="K604" s="144"/>
      <c r="L604" s="372"/>
      <c r="M604" s="144"/>
      <c r="N604" s="408"/>
      <c r="O604" s="408"/>
      <c r="P604" s="408"/>
      <c r="Q604" s="408"/>
      <c r="R604" s="408"/>
      <c r="S604" s="408">
        <v>160000</v>
      </c>
      <c r="T604" s="408"/>
      <c r="U604" s="408"/>
      <c r="V604" s="408"/>
      <c r="W604" s="408"/>
      <c r="X604" s="408"/>
      <c r="Y604" s="408"/>
      <c r="Z604" s="408"/>
      <c r="AA604" s="408">
        <f t="shared" si="73"/>
        <v>160000</v>
      </c>
    </row>
    <row r="605" spans="1:27" ht="37.5" customHeight="1" hidden="1">
      <c r="A605" s="260" t="s">
        <v>1090</v>
      </c>
      <c r="B605" s="227" t="s">
        <v>1091</v>
      </c>
      <c r="C605" s="167"/>
      <c r="D605" s="141"/>
      <c r="E605" s="142"/>
      <c r="F605" s="143"/>
      <c r="G605" s="142"/>
      <c r="H605" s="418"/>
      <c r="I605" s="144" t="e">
        <f>J605+K605+L605+M605+#REF!+#REF!</f>
        <v>#REF!</v>
      </c>
      <c r="J605" s="144"/>
      <c r="K605" s="463"/>
      <c r="L605" s="144"/>
      <c r="M605" s="144"/>
      <c r="N605" s="408"/>
      <c r="O605" s="408"/>
      <c r="P605" s="408"/>
      <c r="Q605" s="408"/>
      <c r="R605" s="408"/>
      <c r="S605" s="408"/>
      <c r="T605" s="408"/>
      <c r="U605" s="408"/>
      <c r="V605" s="408"/>
      <c r="W605" s="408"/>
      <c r="X605" s="408"/>
      <c r="Y605" s="408"/>
      <c r="Z605" s="408"/>
      <c r="AA605" s="408">
        <f t="shared" si="73"/>
        <v>0</v>
      </c>
    </row>
    <row r="606" spans="1:27" ht="15.75">
      <c r="A606" s="260"/>
      <c r="B606" s="227"/>
      <c r="C606" s="167"/>
      <c r="D606" s="141"/>
      <c r="E606" s="142"/>
      <c r="F606" s="143"/>
      <c r="G606" s="142"/>
      <c r="H606" s="418"/>
      <c r="I606" s="144"/>
      <c r="J606" s="144"/>
      <c r="K606" s="144"/>
      <c r="L606" s="144"/>
      <c r="M606" s="144"/>
      <c r="N606" s="408"/>
      <c r="O606" s="408"/>
      <c r="P606" s="408"/>
      <c r="Q606" s="408"/>
      <c r="R606" s="408"/>
      <c r="S606" s="408"/>
      <c r="T606" s="408"/>
      <c r="U606" s="408"/>
      <c r="V606" s="408"/>
      <c r="W606" s="408"/>
      <c r="X606" s="408"/>
      <c r="Y606" s="408"/>
      <c r="Z606" s="408"/>
      <c r="AA606" s="408">
        <f t="shared" si="73"/>
        <v>0</v>
      </c>
    </row>
    <row r="607" spans="1:27" ht="15.75" hidden="1">
      <c r="A607" s="233" t="s">
        <v>58</v>
      </c>
      <c r="B607" s="545" t="s">
        <v>976</v>
      </c>
      <c r="C607" s="545"/>
      <c r="D607" s="545"/>
      <c r="E607" s="193"/>
      <c r="F607" s="194"/>
      <c r="G607" s="193"/>
      <c r="H607" s="426"/>
      <c r="I607" s="132" t="e">
        <f>J607+K607+L607+M607+#REF!+#REF!</f>
        <v>#REF!</v>
      </c>
      <c r="J607" s="132">
        <f>J608</f>
        <v>0</v>
      </c>
      <c r="K607" s="132">
        <f>K608</f>
        <v>0</v>
      </c>
      <c r="L607" s="132">
        <f>L608</f>
        <v>0</v>
      </c>
      <c r="M607" s="132">
        <f>M608</f>
        <v>0</v>
      </c>
      <c r="N607" s="408"/>
      <c r="O607" s="408"/>
      <c r="P607" s="408"/>
      <c r="Q607" s="408"/>
      <c r="R607" s="408"/>
      <c r="S607" s="408"/>
      <c r="T607" s="408"/>
      <c r="U607" s="408"/>
      <c r="V607" s="408"/>
      <c r="W607" s="408"/>
      <c r="X607" s="408"/>
      <c r="Y607" s="408"/>
      <c r="Z607" s="408"/>
      <c r="AA607" s="408">
        <f t="shared" si="73"/>
        <v>0</v>
      </c>
    </row>
    <row r="608" spans="1:27" ht="15.75" customHeight="1" hidden="1">
      <c r="A608" s="535" t="s">
        <v>1154</v>
      </c>
      <c r="B608" s="538" t="s">
        <v>1599</v>
      </c>
      <c r="C608" s="195"/>
      <c r="D608" s="136" t="s">
        <v>538</v>
      </c>
      <c r="E608" s="137"/>
      <c r="F608" s="159"/>
      <c r="G608" s="137"/>
      <c r="H608" s="417"/>
      <c r="I608" s="139" t="e">
        <f>J608+K608+L608+M608+#REF!+#REF!</f>
        <v>#REF!</v>
      </c>
      <c r="J608" s="139">
        <f>SUM(J609:J610)</f>
        <v>0</v>
      </c>
      <c r="K608" s="139">
        <f>SUM(K609:K610)</f>
        <v>0</v>
      </c>
      <c r="L608" s="139">
        <f>SUM(L609:L610)</f>
        <v>0</v>
      </c>
      <c r="M608" s="139">
        <f>SUM(M609:M610)</f>
        <v>0</v>
      </c>
      <c r="N608" s="408"/>
      <c r="O608" s="408"/>
      <c r="P608" s="408"/>
      <c r="Q608" s="408"/>
      <c r="R608" s="408"/>
      <c r="S608" s="408"/>
      <c r="T608" s="408"/>
      <c r="U608" s="408"/>
      <c r="V608" s="408"/>
      <c r="W608" s="408"/>
      <c r="X608" s="408"/>
      <c r="Y608" s="408"/>
      <c r="Z608" s="408"/>
      <c r="AA608" s="408">
        <f t="shared" si="73"/>
        <v>0</v>
      </c>
    </row>
    <row r="609" spans="1:27" ht="31.5" hidden="1">
      <c r="A609" s="536"/>
      <c r="B609" s="512"/>
      <c r="C609" s="135" t="s">
        <v>370</v>
      </c>
      <c r="D609" s="141" t="s">
        <v>371</v>
      </c>
      <c r="E609" s="142"/>
      <c r="F609" s="143"/>
      <c r="G609" s="142"/>
      <c r="H609" s="418"/>
      <c r="I609" s="144" t="e">
        <f>J609+K609+L609+M609+#REF!+#REF!</f>
        <v>#REF!</v>
      </c>
      <c r="J609" s="144"/>
      <c r="K609" s="144"/>
      <c r="L609" s="144">
        <f>42.6-42.6</f>
        <v>0</v>
      </c>
      <c r="M609" s="144"/>
      <c r="N609" s="408"/>
      <c r="O609" s="408"/>
      <c r="P609" s="408"/>
      <c r="Q609" s="408"/>
      <c r="R609" s="408"/>
      <c r="S609" s="408"/>
      <c r="T609" s="408"/>
      <c r="U609" s="408"/>
      <c r="V609" s="408"/>
      <c r="W609" s="408"/>
      <c r="X609" s="408"/>
      <c r="Y609" s="408"/>
      <c r="Z609" s="408"/>
      <c r="AA609" s="408">
        <f t="shared" si="73"/>
        <v>0</v>
      </c>
    </row>
    <row r="610" spans="1:27" ht="31.5" customHeight="1" hidden="1">
      <c r="A610" s="536"/>
      <c r="B610" s="512"/>
      <c r="C610" s="135" t="s">
        <v>539</v>
      </c>
      <c r="D610" s="141" t="s">
        <v>540</v>
      </c>
      <c r="E610" s="142"/>
      <c r="F610" s="143"/>
      <c r="G610" s="142"/>
      <c r="H610" s="418"/>
      <c r="I610" s="144" t="e">
        <f>J610+K610+L610+M610+#REF!+#REF!</f>
        <v>#REF!</v>
      </c>
      <c r="J610" s="144"/>
      <c r="K610" s="144"/>
      <c r="L610" s="144">
        <f>120-22-98</f>
        <v>0</v>
      </c>
      <c r="M610" s="144"/>
      <c r="N610" s="408"/>
      <c r="O610" s="408"/>
      <c r="P610" s="408"/>
      <c r="Q610" s="408"/>
      <c r="R610" s="408"/>
      <c r="S610" s="408"/>
      <c r="T610" s="408"/>
      <c r="U610" s="408"/>
      <c r="V610" s="408"/>
      <c r="W610" s="408"/>
      <c r="X610" s="408"/>
      <c r="Y610" s="408"/>
      <c r="Z610" s="408"/>
      <c r="AA610" s="408">
        <f t="shared" si="73"/>
        <v>0</v>
      </c>
    </row>
    <row r="611" spans="1:27" ht="15.75" hidden="1">
      <c r="A611" s="264"/>
      <c r="B611" s="141"/>
      <c r="C611" s="135"/>
      <c r="D611" s="217"/>
      <c r="E611" s="142"/>
      <c r="F611" s="143"/>
      <c r="G611" s="142"/>
      <c r="H611" s="418"/>
      <c r="I611" s="144" t="e">
        <f>J611+K611+L611+M611+#REF!+#REF!</f>
        <v>#REF!</v>
      </c>
      <c r="J611" s="144"/>
      <c r="K611" s="463"/>
      <c r="L611" s="144"/>
      <c r="M611" s="144"/>
      <c r="N611" s="408"/>
      <c r="O611" s="408"/>
      <c r="P611" s="408"/>
      <c r="Q611" s="408"/>
      <c r="R611" s="408"/>
      <c r="S611" s="408"/>
      <c r="T611" s="408"/>
      <c r="U611" s="408"/>
      <c r="V611" s="408"/>
      <c r="W611" s="408"/>
      <c r="X611" s="408"/>
      <c r="Y611" s="408"/>
      <c r="Z611" s="408"/>
      <c r="AA611" s="408">
        <f t="shared" si="73"/>
        <v>0</v>
      </c>
    </row>
    <row r="612" spans="1:27" ht="15.75">
      <c r="A612" s="233" t="s">
        <v>59</v>
      </c>
      <c r="B612" s="545" t="s">
        <v>541</v>
      </c>
      <c r="C612" s="545"/>
      <c r="D612" s="545"/>
      <c r="E612" s="193"/>
      <c r="F612" s="194"/>
      <c r="G612" s="193"/>
      <c r="H612" s="426"/>
      <c r="I612" s="132">
        <f>I616+I630+I633+I635+I659+I662+I664+I739</f>
        <v>63343463.75</v>
      </c>
      <c r="J612" s="132">
        <f aca="true" t="shared" si="74" ref="J612:Z612">J613+J616+J630+J635+J664+J739+J633+J662+J659</f>
        <v>0</v>
      </c>
      <c r="K612" s="132">
        <f t="shared" si="74"/>
        <v>0</v>
      </c>
      <c r="L612" s="132">
        <f t="shared" si="74"/>
        <v>60603475.06</v>
      </c>
      <c r="M612" s="132">
        <f t="shared" si="74"/>
        <v>3299288.69</v>
      </c>
      <c r="N612" s="132">
        <f t="shared" si="74"/>
        <v>0</v>
      </c>
      <c r="O612" s="132">
        <f t="shared" si="74"/>
        <v>2221791</v>
      </c>
      <c r="P612" s="132">
        <f t="shared" si="74"/>
        <v>0</v>
      </c>
      <c r="Q612" s="132">
        <f t="shared" si="74"/>
        <v>770000</v>
      </c>
      <c r="R612" s="132">
        <f t="shared" si="74"/>
        <v>11165067.02</v>
      </c>
      <c r="S612" s="132">
        <f t="shared" si="74"/>
        <v>11535683</v>
      </c>
      <c r="T612" s="132">
        <f t="shared" si="74"/>
        <v>8976585.59</v>
      </c>
      <c r="U612" s="132">
        <f t="shared" si="74"/>
        <v>6877919</v>
      </c>
      <c r="V612" s="132">
        <f t="shared" si="74"/>
        <v>5705893.2</v>
      </c>
      <c r="W612" s="132">
        <f t="shared" si="74"/>
        <v>6729051.68</v>
      </c>
      <c r="X612" s="132">
        <f t="shared" si="74"/>
        <v>6799182.49</v>
      </c>
      <c r="Y612" s="132">
        <f t="shared" si="74"/>
        <v>2562290.77</v>
      </c>
      <c r="Z612" s="132">
        <f t="shared" si="74"/>
        <v>8398527.93</v>
      </c>
      <c r="AA612" s="408">
        <f t="shared" si="73"/>
        <v>33148517.68</v>
      </c>
    </row>
    <row r="613" spans="1:27" s="45" customFormat="1" ht="15.75" customHeight="1" hidden="1">
      <c r="A613" s="535" t="s">
        <v>1154</v>
      </c>
      <c r="B613" s="538" t="s">
        <v>1599</v>
      </c>
      <c r="C613" s="135"/>
      <c r="D613" s="136" t="s">
        <v>1597</v>
      </c>
      <c r="E613" s="137"/>
      <c r="F613" s="159"/>
      <c r="G613" s="137"/>
      <c r="H613" s="417"/>
      <c r="I613" s="139" t="e">
        <f>J613+K613+L613+M613+#REF!+#REF!</f>
        <v>#REF!</v>
      </c>
      <c r="J613" s="139">
        <f>J614</f>
        <v>0</v>
      </c>
      <c r="K613" s="139">
        <f>K614</f>
        <v>0</v>
      </c>
      <c r="L613" s="139">
        <f>L614</f>
        <v>0</v>
      </c>
      <c r="M613" s="139">
        <f>M614</f>
        <v>0</v>
      </c>
      <c r="N613" s="408"/>
      <c r="O613" s="408"/>
      <c r="P613" s="408"/>
      <c r="Q613" s="408"/>
      <c r="R613" s="408"/>
      <c r="S613" s="408"/>
      <c r="T613" s="408"/>
      <c r="U613" s="408"/>
      <c r="V613" s="408"/>
      <c r="W613" s="408"/>
      <c r="X613" s="408"/>
      <c r="Y613" s="408"/>
      <c r="Z613" s="408"/>
      <c r="AA613" s="408">
        <f t="shared" si="73"/>
        <v>0</v>
      </c>
    </row>
    <row r="614" spans="1:27" s="45" customFormat="1" ht="31.5" hidden="1">
      <c r="A614" s="536"/>
      <c r="B614" s="512"/>
      <c r="C614" s="135" t="s">
        <v>370</v>
      </c>
      <c r="D614" s="141" t="s">
        <v>371</v>
      </c>
      <c r="E614" s="142"/>
      <c r="F614" s="143"/>
      <c r="G614" s="142"/>
      <c r="H614" s="418"/>
      <c r="I614" s="144" t="e">
        <f>J614+K614+L614+M614+#REF!+#REF!</f>
        <v>#REF!</v>
      </c>
      <c r="J614" s="144"/>
      <c r="K614" s="144"/>
      <c r="L614" s="144"/>
      <c r="M614" s="144"/>
      <c r="N614" s="408"/>
      <c r="O614" s="408"/>
      <c r="P614" s="408"/>
      <c r="Q614" s="408"/>
      <c r="R614" s="408"/>
      <c r="S614" s="408"/>
      <c r="T614" s="408"/>
      <c r="U614" s="408"/>
      <c r="V614" s="408"/>
      <c r="W614" s="408"/>
      <c r="X614" s="408"/>
      <c r="Y614" s="408"/>
      <c r="Z614" s="408"/>
      <c r="AA614" s="408">
        <f t="shared" si="73"/>
        <v>0</v>
      </c>
    </row>
    <row r="615" spans="1:27" s="30" customFormat="1" ht="15.75">
      <c r="A615" s="235">
        <v>100000</v>
      </c>
      <c r="B615" s="565" t="s">
        <v>542</v>
      </c>
      <c r="C615" s="566"/>
      <c r="D615" s="567"/>
      <c r="E615" s="172"/>
      <c r="F615" s="143"/>
      <c r="G615" s="172"/>
      <c r="H615" s="421"/>
      <c r="I615" s="169">
        <f aca="true" t="shared" si="75" ref="I615:Z615">I616+I630+I633</f>
        <v>13866998.16</v>
      </c>
      <c r="J615" s="169">
        <f t="shared" si="75"/>
        <v>0</v>
      </c>
      <c r="K615" s="169">
        <f t="shared" si="75"/>
        <v>0</v>
      </c>
      <c r="L615" s="169">
        <f t="shared" si="75"/>
        <v>14218958.16</v>
      </c>
      <c r="M615" s="169">
        <f t="shared" si="75"/>
        <v>31040</v>
      </c>
      <c r="N615" s="169">
        <f t="shared" si="75"/>
        <v>0</v>
      </c>
      <c r="O615" s="169">
        <f t="shared" si="75"/>
        <v>943284.28</v>
      </c>
      <c r="P615" s="169">
        <f t="shared" si="75"/>
        <v>0</v>
      </c>
      <c r="Q615" s="169">
        <f t="shared" si="75"/>
        <v>0</v>
      </c>
      <c r="R615" s="169">
        <f t="shared" si="75"/>
        <v>2247021</v>
      </c>
      <c r="S615" s="169">
        <f t="shared" si="75"/>
        <v>2015757</v>
      </c>
      <c r="T615" s="169">
        <f t="shared" si="75"/>
        <v>2501600</v>
      </c>
      <c r="U615" s="169">
        <f t="shared" si="75"/>
        <v>1091619</v>
      </c>
      <c r="V615" s="169">
        <f t="shared" si="75"/>
        <v>1414593.2</v>
      </c>
      <c r="W615" s="169">
        <f t="shared" si="75"/>
        <v>2521770</v>
      </c>
      <c r="X615" s="169">
        <f t="shared" si="75"/>
        <v>856045.68</v>
      </c>
      <c r="Y615" s="169">
        <f t="shared" si="75"/>
        <v>275308</v>
      </c>
      <c r="Z615" s="169">
        <f t="shared" si="75"/>
        <v>2735377.17</v>
      </c>
      <c r="AA615" s="408">
        <f t="shared" si="73"/>
        <v>6063904.11</v>
      </c>
    </row>
    <row r="616" spans="1:61" s="54" customFormat="1" ht="16.5" customHeight="1">
      <c r="A616" s="544">
        <v>100102</v>
      </c>
      <c r="B616" s="544" t="s">
        <v>543</v>
      </c>
      <c r="C616" s="135"/>
      <c r="D616" s="216" t="s">
        <v>1597</v>
      </c>
      <c r="E616" s="137"/>
      <c r="F616" s="159"/>
      <c r="G616" s="137"/>
      <c r="H616" s="417"/>
      <c r="I616" s="139">
        <f aca="true" t="shared" si="76" ref="I616:Z616">SUM(I617:I629)</f>
        <v>12087151.48</v>
      </c>
      <c r="J616" s="139">
        <f t="shared" si="76"/>
        <v>0</v>
      </c>
      <c r="K616" s="139">
        <f t="shared" si="76"/>
        <v>0</v>
      </c>
      <c r="L616" s="139">
        <f t="shared" si="76"/>
        <v>11926111.48</v>
      </c>
      <c r="M616" s="139">
        <f t="shared" si="76"/>
        <v>31040</v>
      </c>
      <c r="N616" s="139">
        <f t="shared" si="76"/>
        <v>0</v>
      </c>
      <c r="O616" s="139">
        <f t="shared" si="76"/>
        <v>943284.28</v>
      </c>
      <c r="P616" s="139">
        <f t="shared" si="76"/>
        <v>0</v>
      </c>
      <c r="Q616" s="139">
        <f t="shared" si="76"/>
        <v>0</v>
      </c>
      <c r="R616" s="139">
        <f t="shared" si="76"/>
        <v>1567021</v>
      </c>
      <c r="S616" s="139">
        <f t="shared" si="76"/>
        <v>1715757</v>
      </c>
      <c r="T616" s="139">
        <f t="shared" si="76"/>
        <v>1988600</v>
      </c>
      <c r="U616" s="139">
        <f t="shared" si="76"/>
        <v>1404619</v>
      </c>
      <c r="V616" s="139">
        <f t="shared" si="76"/>
        <v>1214593.2</v>
      </c>
      <c r="W616" s="139">
        <f t="shared" si="76"/>
        <v>2321770</v>
      </c>
      <c r="X616" s="139">
        <f t="shared" si="76"/>
        <v>656199</v>
      </c>
      <c r="Y616" s="139">
        <f t="shared" si="76"/>
        <v>275308</v>
      </c>
      <c r="Z616" s="139">
        <f t="shared" si="76"/>
        <v>2318326.61</v>
      </c>
      <c r="AA616" s="408">
        <f t="shared" si="73"/>
        <v>5300954.67</v>
      </c>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c r="BE616" s="45"/>
      <c r="BF616" s="45"/>
      <c r="BG616" s="45"/>
      <c r="BH616" s="45"/>
      <c r="BI616" s="45"/>
    </row>
    <row r="617" spans="1:27" s="45" customFormat="1" ht="47.25">
      <c r="A617" s="544"/>
      <c r="B617" s="544"/>
      <c r="C617" s="135" t="s">
        <v>546</v>
      </c>
      <c r="D617" s="217" t="s">
        <v>547</v>
      </c>
      <c r="E617" s="142">
        <v>6394.35668</v>
      </c>
      <c r="F617" s="143">
        <f>100%-((E617-G617)/E617)</f>
        <v>1</v>
      </c>
      <c r="G617" s="142">
        <v>6394.35668</v>
      </c>
      <c r="H617" s="418">
        <v>3131</v>
      </c>
      <c r="I617" s="144">
        <v>943284.28</v>
      </c>
      <c r="J617" s="144"/>
      <c r="K617" s="144"/>
      <c r="L617" s="144">
        <v>943284.28</v>
      </c>
      <c r="M617" s="144"/>
      <c r="N617" s="408"/>
      <c r="O617" s="144">
        <v>943284.28</v>
      </c>
      <c r="P617" s="408"/>
      <c r="Q617" s="408"/>
      <c r="R617" s="408"/>
      <c r="S617" s="408"/>
      <c r="T617" s="408"/>
      <c r="U617" s="408"/>
      <c r="V617" s="408"/>
      <c r="W617" s="408"/>
      <c r="X617" s="408"/>
      <c r="Y617" s="408"/>
      <c r="Z617" s="144">
        <f>943284.28-549979.68</f>
        <v>393304.6</v>
      </c>
      <c r="AA617" s="408">
        <f t="shared" si="73"/>
        <v>549979.68</v>
      </c>
    </row>
    <row r="618" spans="1:27" s="362" customFormat="1" ht="54" customHeight="1">
      <c r="A618" s="544"/>
      <c r="B618" s="544"/>
      <c r="C618" s="135"/>
      <c r="D618" s="1" t="s">
        <v>228</v>
      </c>
      <c r="E618" s="142"/>
      <c r="F618" s="143"/>
      <c r="G618" s="142"/>
      <c r="H618" s="418">
        <v>3131</v>
      </c>
      <c r="I618" s="144">
        <v>694000</v>
      </c>
      <c r="J618" s="144"/>
      <c r="K618" s="144"/>
      <c r="L618" s="49">
        <v>694000</v>
      </c>
      <c r="M618" s="144"/>
      <c r="N618" s="408"/>
      <c r="O618" s="408"/>
      <c r="P618" s="408"/>
      <c r="Q618" s="408"/>
      <c r="R618" s="408">
        <v>50000</v>
      </c>
      <c r="S618" s="408">
        <v>215000</v>
      </c>
      <c r="T618" s="408">
        <v>215000</v>
      </c>
      <c r="U618" s="408">
        <v>214000</v>
      </c>
      <c r="V618" s="408"/>
      <c r="W618" s="408"/>
      <c r="X618" s="408"/>
      <c r="Y618" s="408"/>
      <c r="Z618" s="408"/>
      <c r="AA618" s="408">
        <f t="shared" si="73"/>
        <v>694000</v>
      </c>
    </row>
    <row r="619" spans="1:27" s="362" customFormat="1" ht="47.25">
      <c r="A619" s="544"/>
      <c r="B619" s="544"/>
      <c r="C619" s="135" t="s">
        <v>962</v>
      </c>
      <c r="D619" s="1" t="s">
        <v>1301</v>
      </c>
      <c r="E619" s="142">
        <v>2340</v>
      </c>
      <c r="F619" s="143">
        <f>100%-((E619-G619)/E619)</f>
        <v>1</v>
      </c>
      <c r="G619" s="142">
        <v>2340</v>
      </c>
      <c r="H619" s="418">
        <v>3131</v>
      </c>
      <c r="I619" s="144">
        <v>9107490</v>
      </c>
      <c r="J619" s="144"/>
      <c r="K619" s="144"/>
      <c r="L619" s="49">
        <v>9107490</v>
      </c>
      <c r="M619" s="144"/>
      <c r="N619" s="408"/>
      <c r="O619" s="408"/>
      <c r="P619" s="408"/>
      <c r="Q619" s="408"/>
      <c r="R619" s="408">
        <v>1453201</v>
      </c>
      <c r="S619" s="408">
        <v>1106757</v>
      </c>
      <c r="T619" s="408">
        <v>1454600</v>
      </c>
      <c r="U619" s="408">
        <f>1420819-500000</f>
        <v>920819</v>
      </c>
      <c r="V619" s="408">
        <f>1428836-500000</f>
        <v>928836</v>
      </c>
      <c r="W619" s="408">
        <f>1311770+1000000</f>
        <v>2311770</v>
      </c>
      <c r="X619" s="408">
        <v>656199</v>
      </c>
      <c r="Y619" s="408">
        <f>275308</f>
        <v>275308</v>
      </c>
      <c r="Z619" s="408">
        <f>11127.6+263193.14+5370.58+39739.87+209268.63+9494.4+74766+373+24075+175466.01+5197+7232.4+389567.07+352003.33+56143.5+70976.16+7571.34+4954.58+48101.23+8895.8+31997.87</f>
        <v>1795514.51</v>
      </c>
      <c r="AA619" s="408">
        <f t="shared" si="73"/>
        <v>3139862.49</v>
      </c>
    </row>
    <row r="620" spans="1:27" s="362" customFormat="1" ht="31.5">
      <c r="A620" s="544"/>
      <c r="B620" s="544"/>
      <c r="C620" s="135" t="s">
        <v>964</v>
      </c>
      <c r="D620" s="1" t="s">
        <v>1450</v>
      </c>
      <c r="E620" s="142"/>
      <c r="F620" s="143"/>
      <c r="G620" s="142"/>
      <c r="H620" s="418">
        <v>3131</v>
      </c>
      <c r="I620" s="144">
        <v>250000</v>
      </c>
      <c r="J620" s="144"/>
      <c r="K620" s="144"/>
      <c r="L620" s="49">
        <v>250000</v>
      </c>
      <c r="M620" s="144"/>
      <c r="N620" s="408"/>
      <c r="O620" s="408"/>
      <c r="P620" s="408"/>
      <c r="Q620" s="408"/>
      <c r="R620" s="408">
        <v>20000</v>
      </c>
      <c r="S620" s="408"/>
      <c r="T620" s="408">
        <v>77000</v>
      </c>
      <c r="U620" s="408">
        <v>77000</v>
      </c>
      <c r="V620" s="408">
        <v>76000</v>
      </c>
      <c r="W620" s="408"/>
      <c r="X620" s="408"/>
      <c r="Y620" s="408"/>
      <c r="Z620" s="408"/>
      <c r="AA620" s="408">
        <f t="shared" si="73"/>
        <v>174000</v>
      </c>
    </row>
    <row r="621" spans="1:27" s="362" customFormat="1" ht="31.5">
      <c r="A621" s="544"/>
      <c r="B621" s="544"/>
      <c r="C621" s="135" t="s">
        <v>966</v>
      </c>
      <c r="D621" s="1" t="s">
        <v>1451</v>
      </c>
      <c r="E621" s="142"/>
      <c r="F621" s="143"/>
      <c r="G621" s="142"/>
      <c r="H621" s="418">
        <v>3131</v>
      </c>
      <c r="I621" s="144">
        <v>100000</v>
      </c>
      <c r="J621" s="144"/>
      <c r="K621" s="144"/>
      <c r="L621" s="49">
        <v>100000</v>
      </c>
      <c r="M621" s="144"/>
      <c r="N621" s="408"/>
      <c r="O621" s="408"/>
      <c r="P621" s="408"/>
      <c r="Q621" s="408"/>
      <c r="R621" s="408"/>
      <c r="S621" s="408">
        <v>10000</v>
      </c>
      <c r="T621" s="408"/>
      <c r="U621" s="408">
        <v>45000</v>
      </c>
      <c r="V621" s="408">
        <v>45000</v>
      </c>
      <c r="W621" s="408"/>
      <c r="X621" s="408"/>
      <c r="Y621" s="408"/>
      <c r="Z621" s="408"/>
      <c r="AA621" s="408">
        <f t="shared" si="73"/>
        <v>55000</v>
      </c>
    </row>
    <row r="622" spans="1:27" s="362" customFormat="1" ht="31.5">
      <c r="A622" s="544"/>
      <c r="B622" s="544"/>
      <c r="C622" s="135" t="s">
        <v>143</v>
      </c>
      <c r="D622" s="1" t="s">
        <v>1452</v>
      </c>
      <c r="E622" s="142"/>
      <c r="F622" s="143"/>
      <c r="G622" s="142"/>
      <c r="H622" s="418">
        <v>3131</v>
      </c>
      <c r="I622" s="144">
        <v>99900</v>
      </c>
      <c r="J622" s="144"/>
      <c r="K622" s="144"/>
      <c r="L622" s="49">
        <v>99900</v>
      </c>
      <c r="M622" s="144"/>
      <c r="N622" s="408"/>
      <c r="O622" s="408"/>
      <c r="P622" s="408"/>
      <c r="Q622" s="408"/>
      <c r="R622" s="408"/>
      <c r="S622" s="408"/>
      <c r="T622" s="408"/>
      <c r="U622" s="408"/>
      <c r="V622" s="408">
        <v>99900</v>
      </c>
      <c r="W622" s="408"/>
      <c r="X622" s="408"/>
      <c r="Y622" s="408"/>
      <c r="Z622" s="408"/>
      <c r="AA622" s="408">
        <f t="shared" si="73"/>
        <v>0</v>
      </c>
    </row>
    <row r="623" spans="1:27" s="362" customFormat="1" ht="31.5">
      <c r="A623" s="544"/>
      <c r="B623" s="544"/>
      <c r="C623" s="135"/>
      <c r="D623" s="1" t="s">
        <v>229</v>
      </c>
      <c r="E623" s="142"/>
      <c r="F623" s="143"/>
      <c r="G623" s="142"/>
      <c r="H623" s="418">
        <v>3131</v>
      </c>
      <c r="I623" s="144">
        <v>20000</v>
      </c>
      <c r="J623" s="144"/>
      <c r="K623" s="144"/>
      <c r="L623" s="49">
        <v>20000</v>
      </c>
      <c r="M623" s="144"/>
      <c r="N623" s="408"/>
      <c r="O623" s="408"/>
      <c r="P623" s="408"/>
      <c r="Q623" s="408"/>
      <c r="R623" s="408">
        <v>2000</v>
      </c>
      <c r="S623" s="408">
        <v>18000</v>
      </c>
      <c r="T623" s="408"/>
      <c r="U623" s="408"/>
      <c r="V623" s="408"/>
      <c r="W623" s="408"/>
      <c r="X623" s="408"/>
      <c r="Y623" s="408"/>
      <c r="Z623" s="408"/>
      <c r="AA623" s="408">
        <f t="shared" si="73"/>
        <v>20000</v>
      </c>
    </row>
    <row r="624" spans="1:27" s="362" customFormat="1" ht="32.25" customHeight="1">
      <c r="A624" s="544"/>
      <c r="B624" s="544"/>
      <c r="C624" s="135"/>
      <c r="D624" s="1" t="s">
        <v>230</v>
      </c>
      <c r="E624" s="142"/>
      <c r="F624" s="143"/>
      <c r="G624" s="142"/>
      <c r="H624" s="418">
        <v>3131</v>
      </c>
      <c r="I624" s="144">
        <v>99000</v>
      </c>
      <c r="J624" s="144"/>
      <c r="K624" s="144"/>
      <c r="L624" s="49">
        <v>99000</v>
      </c>
      <c r="M624" s="144"/>
      <c r="N624" s="408"/>
      <c r="O624" s="408"/>
      <c r="P624" s="408"/>
      <c r="Q624" s="408"/>
      <c r="R624" s="408">
        <v>10000</v>
      </c>
      <c r="S624" s="408">
        <v>40000</v>
      </c>
      <c r="T624" s="408">
        <v>49000</v>
      </c>
      <c r="U624" s="408"/>
      <c r="V624" s="408"/>
      <c r="W624" s="408"/>
      <c r="X624" s="408"/>
      <c r="Y624" s="408"/>
      <c r="Z624" s="408"/>
      <c r="AA624" s="408">
        <f t="shared" si="73"/>
        <v>99000</v>
      </c>
    </row>
    <row r="625" spans="1:27" s="362" customFormat="1" ht="19.5" customHeight="1">
      <c r="A625" s="544"/>
      <c r="B625" s="544"/>
      <c r="C625" s="135"/>
      <c r="D625" s="1" t="s">
        <v>1426</v>
      </c>
      <c r="E625" s="142"/>
      <c r="F625" s="143"/>
      <c r="G625" s="142"/>
      <c r="H625" s="418">
        <v>3131</v>
      </c>
      <c r="I625" s="144">
        <v>336677.2</v>
      </c>
      <c r="J625" s="144"/>
      <c r="K625" s="144"/>
      <c r="L625" s="49">
        <v>336677.2</v>
      </c>
      <c r="M625" s="144"/>
      <c r="N625" s="408"/>
      <c r="O625" s="408"/>
      <c r="P625" s="408"/>
      <c r="Q625" s="408"/>
      <c r="R625" s="408">
        <v>6820</v>
      </c>
      <c r="S625" s="408">
        <v>100000</v>
      </c>
      <c r="T625" s="408">
        <v>100000</v>
      </c>
      <c r="U625" s="408">
        <v>100000</v>
      </c>
      <c r="V625" s="408">
        <v>29857.2</v>
      </c>
      <c r="W625" s="408"/>
      <c r="X625" s="408"/>
      <c r="Y625" s="408"/>
      <c r="Z625" s="408">
        <v>1540.93</v>
      </c>
      <c r="AA625" s="408">
        <f t="shared" si="73"/>
        <v>305279.07</v>
      </c>
    </row>
    <row r="626" spans="1:27" s="362" customFormat="1" ht="31.5">
      <c r="A626" s="544"/>
      <c r="B626" s="544"/>
      <c r="C626" s="135"/>
      <c r="D626" s="1" t="s">
        <v>1506</v>
      </c>
      <c r="E626" s="142"/>
      <c r="F626" s="143"/>
      <c r="G626" s="142"/>
      <c r="H626" s="418">
        <v>3131</v>
      </c>
      <c r="I626" s="144">
        <v>50000</v>
      </c>
      <c r="J626" s="144"/>
      <c r="K626" s="144"/>
      <c r="L626" s="49">
        <v>18960</v>
      </c>
      <c r="M626" s="144">
        <v>31040</v>
      </c>
      <c r="N626" s="408"/>
      <c r="O626" s="408"/>
      <c r="P626" s="408"/>
      <c r="Q626" s="408"/>
      <c r="R626" s="408"/>
      <c r="S626" s="408"/>
      <c r="T626" s="408"/>
      <c r="U626" s="408">
        <v>5000</v>
      </c>
      <c r="V626" s="408">
        <v>35000</v>
      </c>
      <c r="W626" s="408">
        <v>10000</v>
      </c>
      <c r="X626" s="408"/>
      <c r="Y626" s="408"/>
      <c r="Z626" s="408"/>
      <c r="AA626" s="408">
        <f t="shared" si="73"/>
        <v>5000</v>
      </c>
    </row>
    <row r="627" spans="1:27" s="362" customFormat="1" ht="15.75">
      <c r="A627" s="544"/>
      <c r="B627" s="544"/>
      <c r="C627" s="135"/>
      <c r="D627" s="1" t="s">
        <v>232</v>
      </c>
      <c r="E627" s="142"/>
      <c r="F627" s="143"/>
      <c r="G627" s="142"/>
      <c r="H627" s="418">
        <v>3131</v>
      </c>
      <c r="I627" s="144">
        <v>114000</v>
      </c>
      <c r="J627" s="144"/>
      <c r="K627" s="144"/>
      <c r="L627" s="49">
        <v>114000</v>
      </c>
      <c r="M627" s="144"/>
      <c r="N627" s="408"/>
      <c r="O627" s="408"/>
      <c r="P627" s="408"/>
      <c r="Q627" s="408"/>
      <c r="R627" s="408">
        <v>11000</v>
      </c>
      <c r="S627" s="408">
        <v>53000</v>
      </c>
      <c r="T627" s="408">
        <v>50000</v>
      </c>
      <c r="U627" s="408"/>
      <c r="V627" s="408"/>
      <c r="W627" s="408"/>
      <c r="X627" s="408"/>
      <c r="Y627" s="408"/>
      <c r="Z627" s="408"/>
      <c r="AA627" s="408">
        <f t="shared" si="73"/>
        <v>114000</v>
      </c>
    </row>
    <row r="628" spans="1:27" s="362" customFormat="1" ht="31.5">
      <c r="A628" s="544"/>
      <c r="B628" s="544"/>
      <c r="C628" s="135"/>
      <c r="D628" s="1" t="s">
        <v>231</v>
      </c>
      <c r="E628" s="142"/>
      <c r="F628" s="143"/>
      <c r="G628" s="142"/>
      <c r="H628" s="418">
        <v>3131</v>
      </c>
      <c r="I628" s="144">
        <v>130000</v>
      </c>
      <c r="J628" s="144"/>
      <c r="K628" s="144"/>
      <c r="L628" s="49"/>
      <c r="M628" s="144"/>
      <c r="N628" s="408"/>
      <c r="O628" s="408"/>
      <c r="P628" s="408"/>
      <c r="Q628" s="408"/>
      <c r="R628" s="408"/>
      <c r="S628" s="408">
        <v>130000</v>
      </c>
      <c r="T628" s="408"/>
      <c r="U628" s="408"/>
      <c r="V628" s="408"/>
      <c r="W628" s="408"/>
      <c r="X628" s="408"/>
      <c r="Y628" s="408"/>
      <c r="Z628" s="408">
        <f>1320+125637.6+1008.97</f>
        <v>127966.57</v>
      </c>
      <c r="AA628" s="408">
        <f t="shared" si="73"/>
        <v>2033.43</v>
      </c>
    </row>
    <row r="629" spans="1:27" s="362" customFormat="1" ht="15.75">
      <c r="A629" s="544"/>
      <c r="B629" s="544"/>
      <c r="C629" s="135"/>
      <c r="D629" s="1" t="s">
        <v>233</v>
      </c>
      <c r="E629" s="142"/>
      <c r="F629" s="143"/>
      <c r="G629" s="142"/>
      <c r="H629" s="418">
        <v>3131</v>
      </c>
      <c r="I629" s="144">
        <v>142800</v>
      </c>
      <c r="J629" s="144"/>
      <c r="K629" s="144"/>
      <c r="L629" s="49">
        <v>142800</v>
      </c>
      <c r="M629" s="144"/>
      <c r="N629" s="408"/>
      <c r="O629" s="408"/>
      <c r="P629" s="408"/>
      <c r="Q629" s="408"/>
      <c r="R629" s="408">
        <v>14000</v>
      </c>
      <c r="S629" s="408">
        <v>43000</v>
      </c>
      <c r="T629" s="408">
        <v>43000</v>
      </c>
      <c r="U629" s="408">
        <v>42800</v>
      </c>
      <c r="V629" s="408"/>
      <c r="W629" s="408"/>
      <c r="X629" s="408"/>
      <c r="Y629" s="408"/>
      <c r="Z629" s="408"/>
      <c r="AA629" s="408">
        <f t="shared" si="73"/>
        <v>142800</v>
      </c>
    </row>
    <row r="630" spans="1:61" s="54" customFormat="1" ht="15.75" customHeight="1">
      <c r="A630" s="544">
        <v>100106</v>
      </c>
      <c r="B630" s="544" t="s">
        <v>1494</v>
      </c>
      <c r="C630" s="195"/>
      <c r="D630" s="216" t="s">
        <v>1597</v>
      </c>
      <c r="E630" s="137"/>
      <c r="F630" s="159"/>
      <c r="G630" s="137"/>
      <c r="H630" s="417"/>
      <c r="I630" s="139">
        <f>SUM(I631:I632)</f>
        <v>1759846.68</v>
      </c>
      <c r="J630" s="139">
        <f>SUM(J631:J632)</f>
        <v>0</v>
      </c>
      <c r="K630" s="139">
        <f>SUM(K631:K632)</f>
        <v>0</v>
      </c>
      <c r="L630" s="139">
        <f>SUM(L631:L632)</f>
        <v>2272846.68</v>
      </c>
      <c r="M630" s="139">
        <f>SUM(M631:M632)</f>
        <v>0</v>
      </c>
      <c r="N630" s="139">
        <f aca="true" t="shared" si="77" ref="N630:Z630">SUM(N631:N632)</f>
        <v>0</v>
      </c>
      <c r="O630" s="139">
        <f t="shared" si="77"/>
        <v>0</v>
      </c>
      <c r="P630" s="139">
        <f t="shared" si="77"/>
        <v>0</v>
      </c>
      <c r="Q630" s="139">
        <f t="shared" si="77"/>
        <v>0</v>
      </c>
      <c r="R630" s="139">
        <f t="shared" si="77"/>
        <v>660000</v>
      </c>
      <c r="S630" s="139">
        <f t="shared" si="77"/>
        <v>300000</v>
      </c>
      <c r="T630" s="139">
        <f t="shared" si="77"/>
        <v>513000</v>
      </c>
      <c r="U630" s="139">
        <f t="shared" si="77"/>
        <v>-313000</v>
      </c>
      <c r="V630" s="139">
        <f t="shared" si="77"/>
        <v>200000</v>
      </c>
      <c r="W630" s="139">
        <f t="shared" si="77"/>
        <v>200000</v>
      </c>
      <c r="X630" s="139">
        <f t="shared" si="77"/>
        <v>199846.68</v>
      </c>
      <c r="Y630" s="139">
        <f t="shared" si="77"/>
        <v>0</v>
      </c>
      <c r="Z630" s="139">
        <f t="shared" si="77"/>
        <v>417050.56</v>
      </c>
      <c r="AA630" s="408">
        <f t="shared" si="73"/>
        <v>742949.44</v>
      </c>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row>
    <row r="631" spans="1:28" s="362" customFormat="1" ht="47.25">
      <c r="A631" s="544"/>
      <c r="B631" s="544"/>
      <c r="C631" s="135" t="s">
        <v>1448</v>
      </c>
      <c r="D631" s="1" t="s">
        <v>1457</v>
      </c>
      <c r="E631" s="142"/>
      <c r="F631" s="143"/>
      <c r="G631" s="142"/>
      <c r="H631" s="418" t="s">
        <v>1338</v>
      </c>
      <c r="I631" s="144">
        <v>1759846.68</v>
      </c>
      <c r="J631" s="144"/>
      <c r="K631" s="144"/>
      <c r="L631" s="49">
        <v>1759846.68</v>
      </c>
      <c r="M631" s="144"/>
      <c r="N631" s="408"/>
      <c r="O631" s="408"/>
      <c r="P631" s="408"/>
      <c r="Q631" s="408"/>
      <c r="R631" s="408">
        <v>460000</v>
      </c>
      <c r="S631" s="408">
        <f>300000</f>
        <v>300000</v>
      </c>
      <c r="T631" s="408">
        <f>200000</f>
        <v>200000</v>
      </c>
      <c r="U631" s="408">
        <v>200000</v>
      </c>
      <c r="V631" s="408">
        <v>200000</v>
      </c>
      <c r="W631" s="408">
        <v>200000</v>
      </c>
      <c r="X631" s="408">
        <v>199846.68</v>
      </c>
      <c r="Y631" s="408"/>
      <c r="Z631" s="408">
        <f>65132.9+200366.31+60605.67+76456.8+14488.88</f>
        <v>417050.56</v>
      </c>
      <c r="AA631" s="408">
        <f t="shared" si="73"/>
        <v>742949.44</v>
      </c>
      <c r="AB631" s="491" t="s">
        <v>313</v>
      </c>
    </row>
    <row r="632" spans="1:27" s="362" customFormat="1" ht="73.5" customHeight="1" hidden="1">
      <c r="A632" s="544"/>
      <c r="B632" s="544"/>
      <c r="C632" s="135"/>
      <c r="D632" s="13" t="s">
        <v>1458</v>
      </c>
      <c r="E632" s="142"/>
      <c r="F632" s="143"/>
      <c r="G632" s="142"/>
      <c r="H632" s="418">
        <v>3131</v>
      </c>
      <c r="I632" s="144">
        <f>513000-513000</f>
        <v>0</v>
      </c>
      <c r="J632" s="144"/>
      <c r="K632" s="144"/>
      <c r="L632" s="49">
        <v>513000</v>
      </c>
      <c r="M632" s="144"/>
      <c r="N632" s="408"/>
      <c r="O632" s="408"/>
      <c r="P632" s="408"/>
      <c r="Q632" s="408"/>
      <c r="R632" s="408">
        <v>200000</v>
      </c>
      <c r="S632" s="408"/>
      <c r="T632" s="408">
        <v>313000</v>
      </c>
      <c r="U632" s="408">
        <f>-513000</f>
        <v>-513000</v>
      </c>
      <c r="V632" s="408"/>
      <c r="W632" s="408"/>
      <c r="X632" s="408"/>
      <c r="Y632" s="408"/>
      <c r="Z632" s="408"/>
      <c r="AA632" s="408">
        <f t="shared" si="73"/>
        <v>0</v>
      </c>
    </row>
    <row r="633" spans="1:61" s="28" customFormat="1" ht="15.75">
      <c r="A633" s="538">
        <v>100203</v>
      </c>
      <c r="B633" s="538" t="s">
        <v>851</v>
      </c>
      <c r="C633" s="267"/>
      <c r="D633" s="216" t="s">
        <v>1597</v>
      </c>
      <c r="E633" s="137"/>
      <c r="F633" s="159"/>
      <c r="G633" s="137"/>
      <c r="H633" s="417"/>
      <c r="I633" s="139">
        <f>SUM(I634:I634)</f>
        <v>20000</v>
      </c>
      <c r="J633" s="139">
        <f>SUM(J634:J634)</f>
        <v>0</v>
      </c>
      <c r="K633" s="139">
        <f>SUM(K634:K634)</f>
        <v>0</v>
      </c>
      <c r="L633" s="139">
        <f>SUM(L634:L634)</f>
        <v>20000</v>
      </c>
      <c r="M633" s="139">
        <f>SUM(M634:M634)</f>
        <v>0</v>
      </c>
      <c r="N633" s="139">
        <f aca="true" t="shared" si="78" ref="N633:Z633">SUM(N634:N634)</f>
        <v>0</v>
      </c>
      <c r="O633" s="139">
        <f t="shared" si="78"/>
        <v>0</v>
      </c>
      <c r="P633" s="139">
        <f t="shared" si="78"/>
        <v>0</v>
      </c>
      <c r="Q633" s="139">
        <f t="shared" si="78"/>
        <v>0</v>
      </c>
      <c r="R633" s="139">
        <f t="shared" si="78"/>
        <v>20000</v>
      </c>
      <c r="S633" s="139">
        <f t="shared" si="78"/>
        <v>0</v>
      </c>
      <c r="T633" s="139">
        <f t="shared" si="78"/>
        <v>0</v>
      </c>
      <c r="U633" s="139">
        <f t="shared" si="78"/>
        <v>0</v>
      </c>
      <c r="V633" s="139">
        <f t="shared" si="78"/>
        <v>0</v>
      </c>
      <c r="W633" s="139">
        <f t="shared" si="78"/>
        <v>0</v>
      </c>
      <c r="X633" s="139">
        <f t="shared" si="78"/>
        <v>0</v>
      </c>
      <c r="Y633" s="139">
        <f t="shared" si="78"/>
        <v>0</v>
      </c>
      <c r="Z633" s="139">
        <f t="shared" si="78"/>
        <v>0</v>
      </c>
      <c r="AA633" s="408">
        <f t="shared" si="73"/>
        <v>20000</v>
      </c>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row>
    <row r="634" spans="1:27" s="40" customFormat="1" ht="47.25">
      <c r="A634" s="512"/>
      <c r="B634" s="512"/>
      <c r="C634" s="266"/>
      <c r="D634" s="217" t="s">
        <v>563</v>
      </c>
      <c r="E634" s="142"/>
      <c r="F634" s="143"/>
      <c r="G634" s="142"/>
      <c r="H634" s="418">
        <v>3132</v>
      </c>
      <c r="I634" s="144">
        <v>20000</v>
      </c>
      <c r="J634" s="144"/>
      <c r="K634" s="144"/>
      <c r="L634" s="472">
        <v>20000</v>
      </c>
      <c r="M634" s="144"/>
      <c r="N634" s="408"/>
      <c r="O634" s="408"/>
      <c r="P634" s="408"/>
      <c r="Q634" s="408"/>
      <c r="R634" s="408">
        <v>20000</v>
      </c>
      <c r="S634" s="408"/>
      <c r="T634" s="408"/>
      <c r="U634" s="408"/>
      <c r="V634" s="408"/>
      <c r="W634" s="408"/>
      <c r="X634" s="408"/>
      <c r="Y634" s="408"/>
      <c r="Z634" s="408"/>
      <c r="AA634" s="408">
        <f t="shared" si="73"/>
        <v>20000</v>
      </c>
    </row>
    <row r="635" spans="1:61" s="28" customFormat="1" ht="15.75">
      <c r="A635" s="538">
        <v>150101</v>
      </c>
      <c r="B635" s="538" t="s">
        <v>1091</v>
      </c>
      <c r="C635" s="195"/>
      <c r="D635" s="216" t="s">
        <v>1597</v>
      </c>
      <c r="E635" s="137"/>
      <c r="F635" s="159"/>
      <c r="G635" s="137"/>
      <c r="H635" s="417"/>
      <c r="I635" s="139">
        <f aca="true" t="shared" si="79" ref="I635:Z635">SUM(I636:I658)</f>
        <v>26219988.57</v>
      </c>
      <c r="J635" s="139">
        <f t="shared" si="79"/>
        <v>0</v>
      </c>
      <c r="K635" s="139">
        <f t="shared" si="79"/>
        <v>0</v>
      </c>
      <c r="L635" s="139">
        <f t="shared" si="79"/>
        <v>26266288.57</v>
      </c>
      <c r="M635" s="139">
        <f t="shared" si="79"/>
        <v>0</v>
      </c>
      <c r="N635" s="139">
        <f t="shared" si="79"/>
        <v>0</v>
      </c>
      <c r="O635" s="139">
        <f t="shared" si="79"/>
        <v>1278506.72</v>
      </c>
      <c r="P635" s="139">
        <f t="shared" si="79"/>
        <v>0</v>
      </c>
      <c r="Q635" s="139">
        <f t="shared" si="79"/>
        <v>770000</v>
      </c>
      <c r="R635" s="139">
        <f t="shared" si="79"/>
        <v>1062994</v>
      </c>
      <c r="S635" s="139">
        <f t="shared" si="79"/>
        <v>6661395</v>
      </c>
      <c r="T635" s="139">
        <f t="shared" si="79"/>
        <v>2528886.59</v>
      </c>
      <c r="U635" s="139">
        <f t="shared" si="79"/>
        <v>3182000</v>
      </c>
      <c r="V635" s="139">
        <f t="shared" si="79"/>
        <v>3270000</v>
      </c>
      <c r="W635" s="139">
        <f t="shared" si="79"/>
        <v>3632619.68</v>
      </c>
      <c r="X635" s="139">
        <f t="shared" si="79"/>
        <v>3681318.81</v>
      </c>
      <c r="Y635" s="139">
        <f t="shared" si="79"/>
        <v>152267.77</v>
      </c>
      <c r="Z635" s="139">
        <f t="shared" si="79"/>
        <v>1927762.82</v>
      </c>
      <c r="AA635" s="408">
        <f t="shared" si="73"/>
        <v>13556019.49</v>
      </c>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row>
    <row r="636" spans="1:27" ht="47.25">
      <c r="A636" s="512"/>
      <c r="B636" s="512"/>
      <c r="C636" s="266" t="s">
        <v>671</v>
      </c>
      <c r="D636" s="14" t="s">
        <v>672</v>
      </c>
      <c r="E636" s="142">
        <v>33041.378</v>
      </c>
      <c r="F636" s="143">
        <f>100%-((E636-G636)/E636)</f>
        <v>0.165</v>
      </c>
      <c r="G636" s="142">
        <v>5447.952</v>
      </c>
      <c r="H636" s="418">
        <v>3142</v>
      </c>
      <c r="I636" s="144">
        <v>1278506.72</v>
      </c>
      <c r="J636" s="144"/>
      <c r="K636" s="153"/>
      <c r="L636" s="69">
        <v>1278506.72</v>
      </c>
      <c r="M636" s="144"/>
      <c r="N636" s="408"/>
      <c r="O636" s="144">
        <v>1278506.72</v>
      </c>
      <c r="P636" s="408"/>
      <c r="Q636" s="408"/>
      <c r="R636" s="408"/>
      <c r="S636" s="408"/>
      <c r="T636" s="408"/>
      <c r="U636" s="408"/>
      <c r="V636" s="408"/>
      <c r="W636" s="408"/>
      <c r="X636" s="408"/>
      <c r="Y636" s="408"/>
      <c r="Z636" s="144">
        <v>1278506.72</v>
      </c>
      <c r="AA636" s="408">
        <f t="shared" si="73"/>
        <v>0</v>
      </c>
    </row>
    <row r="637" spans="1:27" s="362" customFormat="1" ht="18" customHeight="1">
      <c r="A637" s="512"/>
      <c r="B637" s="512"/>
      <c r="C637" s="266"/>
      <c r="D637" s="374" t="s">
        <v>564</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15.75">
      <c r="A638" s="512"/>
      <c r="B638" s="512"/>
      <c r="C638" s="266"/>
      <c r="D638" s="374" t="s">
        <v>154</v>
      </c>
      <c r="E638" s="142"/>
      <c r="F638" s="143"/>
      <c r="G638" s="142"/>
      <c r="H638" s="418">
        <v>3122</v>
      </c>
      <c r="I638" s="144">
        <v>20000</v>
      </c>
      <c r="J638" s="144"/>
      <c r="K638" s="144"/>
      <c r="L638" s="49">
        <v>20000</v>
      </c>
      <c r="M638" s="144"/>
      <c r="N638" s="408"/>
      <c r="O638" s="408"/>
      <c r="P638" s="408"/>
      <c r="Q638" s="408"/>
      <c r="R638" s="408"/>
      <c r="S638" s="408"/>
      <c r="T638" s="408"/>
      <c r="U638" s="408"/>
      <c r="V638" s="408"/>
      <c r="W638" s="408">
        <v>20000</v>
      </c>
      <c r="X638" s="408"/>
      <c r="Y638" s="408"/>
      <c r="Z638" s="408"/>
      <c r="AA638" s="408">
        <f t="shared" si="73"/>
        <v>0</v>
      </c>
    </row>
    <row r="639" spans="1:27" s="362" customFormat="1" ht="31.5">
      <c r="A639" s="512"/>
      <c r="B639" s="512"/>
      <c r="C639" s="266"/>
      <c r="D639" s="14" t="s">
        <v>615</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15.75">
      <c r="A640" s="512"/>
      <c r="B640" s="512"/>
      <c r="C640" s="266"/>
      <c r="D640" s="14" t="s">
        <v>616</v>
      </c>
      <c r="E640" s="142"/>
      <c r="F640" s="143"/>
      <c r="G640" s="142"/>
      <c r="H640" s="418">
        <v>3122</v>
      </c>
      <c r="I640" s="144">
        <v>15000</v>
      </c>
      <c r="J640" s="144"/>
      <c r="K640" s="144"/>
      <c r="L640" s="49">
        <v>15000</v>
      </c>
      <c r="M640" s="144"/>
      <c r="N640" s="408"/>
      <c r="O640" s="408"/>
      <c r="P640" s="408"/>
      <c r="Q640" s="408"/>
      <c r="R640" s="408"/>
      <c r="S640" s="408"/>
      <c r="T640" s="408"/>
      <c r="U640" s="408"/>
      <c r="V640" s="408"/>
      <c r="W640" s="408">
        <v>15000</v>
      </c>
      <c r="X640" s="408"/>
      <c r="Y640" s="408"/>
      <c r="Z640" s="408"/>
      <c r="AA640" s="408">
        <f t="shared" si="73"/>
        <v>0</v>
      </c>
    </row>
    <row r="641" spans="1:27" s="362" customFormat="1" ht="31.5">
      <c r="A641" s="512"/>
      <c r="B641" s="512"/>
      <c r="C641" s="266"/>
      <c r="D641" s="13" t="s">
        <v>617</v>
      </c>
      <c r="E641" s="142"/>
      <c r="F641" s="143"/>
      <c r="G641" s="142"/>
      <c r="H641" s="418">
        <v>3142</v>
      </c>
      <c r="I641" s="144">
        <v>105000</v>
      </c>
      <c r="J641" s="144"/>
      <c r="K641" s="144"/>
      <c r="L641" s="49">
        <v>105000</v>
      </c>
      <c r="M641" s="144"/>
      <c r="N641" s="408"/>
      <c r="O641" s="408"/>
      <c r="P641" s="408"/>
      <c r="Q641" s="408"/>
      <c r="R641" s="408"/>
      <c r="S641" s="408"/>
      <c r="T641" s="408"/>
      <c r="U641" s="408"/>
      <c r="V641" s="408"/>
      <c r="W641" s="408">
        <v>105000</v>
      </c>
      <c r="X641" s="408"/>
      <c r="Y641" s="408"/>
      <c r="Z641" s="408"/>
      <c r="AA641" s="408">
        <f t="shared" si="73"/>
        <v>0</v>
      </c>
    </row>
    <row r="642" spans="1:27" s="362" customFormat="1" ht="47.25" hidden="1">
      <c r="A642" s="512"/>
      <c r="B642" s="512"/>
      <c r="C642" s="266"/>
      <c r="D642" s="14" t="s">
        <v>1433</v>
      </c>
      <c r="E642" s="142"/>
      <c r="F642" s="143"/>
      <c r="G642" s="142"/>
      <c r="H642" s="418">
        <v>3122</v>
      </c>
      <c r="I642" s="144">
        <f>46300-46300</f>
        <v>0</v>
      </c>
      <c r="J642" s="144"/>
      <c r="K642" s="144"/>
      <c r="L642" s="49">
        <v>46300</v>
      </c>
      <c r="M642" s="144"/>
      <c r="N642" s="408"/>
      <c r="O642" s="408"/>
      <c r="P642" s="408"/>
      <c r="Q642" s="408"/>
      <c r="R642" s="408">
        <f>46300-46300</f>
        <v>0</v>
      </c>
      <c r="S642" s="408"/>
      <c r="T642" s="408"/>
      <c r="U642" s="408"/>
      <c r="V642" s="408"/>
      <c r="W642" s="408"/>
      <c r="X642" s="408"/>
      <c r="Y642" s="408"/>
      <c r="Z642" s="408"/>
      <c r="AA642" s="408">
        <f t="shared" si="73"/>
        <v>0</v>
      </c>
    </row>
    <row r="643" spans="1:27" s="362" customFormat="1" ht="31.5">
      <c r="A643" s="512"/>
      <c r="B643" s="512"/>
      <c r="C643" s="266" t="s">
        <v>1076</v>
      </c>
      <c r="D643" s="1" t="s">
        <v>243</v>
      </c>
      <c r="E643" s="142">
        <v>16785.716</v>
      </c>
      <c r="F643" s="143">
        <f aca="true" t="shared" si="80" ref="F643:F648">100%-((E643-G643)/E643)</f>
        <v>0.906</v>
      </c>
      <c r="G643" s="142">
        <v>15203.15436</v>
      </c>
      <c r="H643" s="418">
        <v>3142</v>
      </c>
      <c r="I643" s="144">
        <v>106968</v>
      </c>
      <c r="J643" s="144"/>
      <c r="K643" s="144"/>
      <c r="L643" s="49">
        <v>106968</v>
      </c>
      <c r="M643" s="144"/>
      <c r="N643" s="408"/>
      <c r="O643" s="408"/>
      <c r="P643" s="408"/>
      <c r="Q643" s="408"/>
      <c r="R643" s="408">
        <v>47100</v>
      </c>
      <c r="S643" s="408">
        <v>59868</v>
      </c>
      <c r="T643" s="408"/>
      <c r="U643" s="408"/>
      <c r="V643" s="408"/>
      <c r="W643" s="408"/>
      <c r="X643" s="408"/>
      <c r="Y643" s="408"/>
      <c r="Z643" s="408">
        <v>47095.74</v>
      </c>
      <c r="AA643" s="408">
        <f t="shared" si="73"/>
        <v>59872.26</v>
      </c>
    </row>
    <row r="644" spans="1:27" s="362" customFormat="1" ht="31.5">
      <c r="A644" s="512"/>
      <c r="B644" s="512"/>
      <c r="C644" s="266" t="s">
        <v>1070</v>
      </c>
      <c r="D644" s="1" t="s">
        <v>211</v>
      </c>
      <c r="E644" s="142">
        <v>990</v>
      </c>
      <c r="F644" s="143">
        <f t="shared" si="80"/>
        <v>1</v>
      </c>
      <c r="G644" s="142">
        <v>990</v>
      </c>
      <c r="H644" s="418">
        <v>3122</v>
      </c>
      <c r="I644" s="144">
        <v>2700000</v>
      </c>
      <c r="J644" s="144"/>
      <c r="K644" s="144"/>
      <c r="L644" s="49">
        <v>2700000</v>
      </c>
      <c r="M644" s="144"/>
      <c r="N644" s="408"/>
      <c r="O644" s="408"/>
      <c r="P644" s="408"/>
      <c r="Q644" s="408">
        <v>770000</v>
      </c>
      <c r="R644" s="408">
        <f>900000-300000</f>
        <v>600000</v>
      </c>
      <c r="S644" s="408">
        <v>1030000</v>
      </c>
      <c r="T644" s="408">
        <v>300000</v>
      </c>
      <c r="U644" s="408"/>
      <c r="V644" s="408"/>
      <c r="W644" s="408"/>
      <c r="X644" s="408"/>
      <c r="Y644" s="408"/>
      <c r="Z644" s="408">
        <f>535000+28000+8191.01</f>
        <v>571191.01</v>
      </c>
      <c r="AA644" s="408">
        <f t="shared" si="73"/>
        <v>2128808.99</v>
      </c>
    </row>
    <row r="645" spans="1:27" s="362" customFormat="1" ht="31.5">
      <c r="A645" s="512"/>
      <c r="B645" s="512"/>
      <c r="C645" s="266" t="s">
        <v>1072</v>
      </c>
      <c r="D645" s="14" t="s">
        <v>244</v>
      </c>
      <c r="E645" s="142">
        <v>972.32</v>
      </c>
      <c r="F645" s="143">
        <f t="shared" si="80"/>
        <v>0.082</v>
      </c>
      <c r="G645" s="142">
        <v>80</v>
      </c>
      <c r="H645" s="418">
        <v>3122</v>
      </c>
      <c r="I645" s="144">
        <v>419722</v>
      </c>
      <c r="J645" s="144"/>
      <c r="K645" s="144"/>
      <c r="L645" s="49">
        <v>419722</v>
      </c>
      <c r="M645" s="144"/>
      <c r="N645" s="408"/>
      <c r="O645" s="408"/>
      <c r="P645" s="408"/>
      <c r="Q645" s="408"/>
      <c r="R645" s="408"/>
      <c r="S645" s="408"/>
      <c r="T645" s="408"/>
      <c r="U645" s="408"/>
      <c r="V645" s="408"/>
      <c r="W645" s="408">
        <v>419722</v>
      </c>
      <c r="X645" s="408"/>
      <c r="Y645" s="408"/>
      <c r="Z645" s="408"/>
      <c r="AA645" s="408">
        <f t="shared" si="73"/>
        <v>0</v>
      </c>
    </row>
    <row r="646" spans="1:27" s="362" customFormat="1" ht="31.5">
      <c r="A646" s="512"/>
      <c r="B646" s="512"/>
      <c r="C646" s="266" t="s">
        <v>686</v>
      </c>
      <c r="D646" s="14" t="s">
        <v>1473</v>
      </c>
      <c r="E646" s="142">
        <v>3719.482</v>
      </c>
      <c r="F646" s="143">
        <f t="shared" si="80"/>
        <v>0.454</v>
      </c>
      <c r="G646" s="142">
        <v>1688.3</v>
      </c>
      <c r="H646" s="418">
        <v>3122</v>
      </c>
      <c r="I646" s="144">
        <v>42318.81</v>
      </c>
      <c r="J646" s="144"/>
      <c r="K646" s="144"/>
      <c r="L646" s="49">
        <v>42318.81</v>
      </c>
      <c r="M646" s="144"/>
      <c r="N646" s="408"/>
      <c r="O646" s="408"/>
      <c r="P646" s="408"/>
      <c r="Q646" s="408"/>
      <c r="R646" s="408"/>
      <c r="S646" s="408"/>
      <c r="T646" s="408"/>
      <c r="U646" s="408"/>
      <c r="V646" s="408"/>
      <c r="W646" s="408"/>
      <c r="X646" s="408">
        <v>42318.81</v>
      </c>
      <c r="Y646" s="408"/>
      <c r="Z646" s="408"/>
      <c r="AA646" s="408">
        <f t="shared" si="73"/>
        <v>0</v>
      </c>
    </row>
    <row r="647" spans="1:27" s="362" customFormat="1" ht="31.5">
      <c r="A647" s="512"/>
      <c r="B647" s="512"/>
      <c r="C647" s="266" t="s">
        <v>688</v>
      </c>
      <c r="D647" s="14" t="s">
        <v>1474</v>
      </c>
      <c r="E647" s="142"/>
      <c r="F647" s="143" t="e">
        <f t="shared" si="80"/>
        <v>#DIV/0!</v>
      </c>
      <c r="G647" s="142"/>
      <c r="H647" s="418">
        <v>3122</v>
      </c>
      <c r="I647" s="144">
        <v>150000</v>
      </c>
      <c r="J647" s="144"/>
      <c r="K647" s="144"/>
      <c r="L647" s="49">
        <v>150000</v>
      </c>
      <c r="M647" s="144"/>
      <c r="N647" s="408"/>
      <c r="O647" s="408"/>
      <c r="P647" s="408"/>
      <c r="Q647" s="408"/>
      <c r="R647" s="408"/>
      <c r="S647" s="408"/>
      <c r="T647" s="408"/>
      <c r="U647" s="408"/>
      <c r="V647" s="408"/>
      <c r="W647" s="408">
        <v>150000</v>
      </c>
      <c r="X647" s="408"/>
      <c r="Y647" s="408"/>
      <c r="Z647" s="408"/>
      <c r="AA647" s="408">
        <f t="shared" si="73"/>
        <v>0</v>
      </c>
    </row>
    <row r="648" spans="1:27" s="362" customFormat="1" ht="31.5">
      <c r="A648" s="512"/>
      <c r="B648" s="512"/>
      <c r="C648" s="266"/>
      <c r="D648" s="14" t="s">
        <v>1475</v>
      </c>
      <c r="E648" s="142"/>
      <c r="F648" s="143" t="e">
        <f t="shared" si="80"/>
        <v>#DIV/0!</v>
      </c>
      <c r="G648" s="142"/>
      <c r="H648" s="418">
        <v>3142</v>
      </c>
      <c r="I648" s="144">
        <v>650000</v>
      </c>
      <c r="J648" s="144"/>
      <c r="K648" s="144"/>
      <c r="L648" s="49">
        <v>650000</v>
      </c>
      <c r="M648" s="144"/>
      <c r="N648" s="408"/>
      <c r="O648" s="408"/>
      <c r="P648" s="408"/>
      <c r="Q648" s="408"/>
      <c r="R648" s="408">
        <v>150000</v>
      </c>
      <c r="S648" s="408">
        <v>250000</v>
      </c>
      <c r="T648" s="408">
        <v>250000</v>
      </c>
      <c r="U648" s="408"/>
      <c r="V648" s="408"/>
      <c r="W648" s="408"/>
      <c r="X648" s="408"/>
      <c r="Y648" s="408"/>
      <c r="Z648" s="408">
        <v>16269.35</v>
      </c>
      <c r="AA648" s="408">
        <f t="shared" si="73"/>
        <v>633730.65</v>
      </c>
    </row>
    <row r="649" spans="1:27" s="362" customFormat="1" ht="31.5">
      <c r="A649" s="594"/>
      <c r="B649" s="594"/>
      <c r="C649" s="266" t="s">
        <v>690</v>
      </c>
      <c r="D649" s="13" t="s">
        <v>611</v>
      </c>
      <c r="E649" s="142"/>
      <c r="F649" s="143"/>
      <c r="G649" s="142"/>
      <c r="H649" s="418">
        <v>3122</v>
      </c>
      <c r="I649" s="144">
        <v>400000</v>
      </c>
      <c r="J649" s="144"/>
      <c r="K649" s="144"/>
      <c r="L649" s="49">
        <v>400000</v>
      </c>
      <c r="M649" s="144"/>
      <c r="N649" s="408"/>
      <c r="O649" s="408"/>
      <c r="P649" s="408"/>
      <c r="Q649" s="408"/>
      <c r="R649" s="408"/>
      <c r="S649" s="408"/>
      <c r="T649" s="408"/>
      <c r="U649" s="408"/>
      <c r="V649" s="408"/>
      <c r="W649" s="408">
        <v>400000</v>
      </c>
      <c r="X649" s="408"/>
      <c r="Y649" s="408"/>
      <c r="Z649" s="408"/>
      <c r="AA649" s="408">
        <f t="shared" si="73"/>
        <v>0</v>
      </c>
    </row>
    <row r="650" spans="1:27" s="362" customFormat="1" ht="31.5">
      <c r="A650" s="594"/>
      <c r="B650" s="594"/>
      <c r="C650" s="266"/>
      <c r="D650" s="14" t="s">
        <v>612</v>
      </c>
      <c r="E650" s="142"/>
      <c r="F650" s="143"/>
      <c r="G650" s="142"/>
      <c r="H650" s="418">
        <v>3142</v>
      </c>
      <c r="I650" s="144">
        <v>276897.68</v>
      </c>
      <c r="J650" s="144"/>
      <c r="K650" s="144"/>
      <c r="L650" s="49">
        <v>276897.68</v>
      </c>
      <c r="M650" s="144"/>
      <c r="N650" s="408"/>
      <c r="O650" s="408"/>
      <c r="P650" s="408"/>
      <c r="Q650" s="408"/>
      <c r="R650" s="408"/>
      <c r="S650" s="408"/>
      <c r="T650" s="408"/>
      <c r="U650" s="408"/>
      <c r="V650" s="408"/>
      <c r="W650" s="408">
        <v>276897.68</v>
      </c>
      <c r="X650" s="408"/>
      <c r="Y650" s="408"/>
      <c r="Z650" s="408"/>
      <c r="AA650" s="408">
        <f t="shared" si="73"/>
        <v>0</v>
      </c>
    </row>
    <row r="651" spans="1:27" s="362" customFormat="1" ht="31.5">
      <c r="A651" s="594"/>
      <c r="B651" s="594"/>
      <c r="C651" s="266"/>
      <c r="D651" s="370" t="s">
        <v>1071</v>
      </c>
      <c r="E651" s="142"/>
      <c r="F651" s="143"/>
      <c r="G651" s="142"/>
      <c r="H651" s="418">
        <v>3142</v>
      </c>
      <c r="I651" s="144">
        <v>78648</v>
      </c>
      <c r="J651" s="144"/>
      <c r="K651" s="144"/>
      <c r="L651" s="49">
        <v>78648</v>
      </c>
      <c r="M651" s="144"/>
      <c r="N651" s="408"/>
      <c r="O651" s="408"/>
      <c r="P651" s="408"/>
      <c r="Q651" s="408"/>
      <c r="R651" s="408">
        <v>78648</v>
      </c>
      <c r="S651" s="408"/>
      <c r="T651" s="408"/>
      <c r="U651" s="408"/>
      <c r="V651" s="408"/>
      <c r="W651" s="408"/>
      <c r="X651" s="408"/>
      <c r="Y651" s="408"/>
      <c r="Z651" s="408"/>
      <c r="AA651" s="408">
        <f t="shared" si="73"/>
        <v>78648</v>
      </c>
    </row>
    <row r="652" spans="1:27" s="362" customFormat="1" ht="47.25">
      <c r="A652" s="594"/>
      <c r="B652" s="594"/>
      <c r="C652" s="266"/>
      <c r="D652" s="14" t="s">
        <v>1427</v>
      </c>
      <c r="E652" s="142"/>
      <c r="F652" s="143"/>
      <c r="G652" s="142"/>
      <c r="H652" s="418">
        <v>3142</v>
      </c>
      <c r="I652" s="144">
        <v>97246</v>
      </c>
      <c r="J652" s="144"/>
      <c r="K652" s="144"/>
      <c r="L652" s="49">
        <v>97246</v>
      </c>
      <c r="M652" s="144"/>
      <c r="N652" s="408"/>
      <c r="O652" s="408"/>
      <c r="P652" s="408"/>
      <c r="Q652" s="408"/>
      <c r="R652" s="408">
        <v>97246</v>
      </c>
      <c r="S652" s="408"/>
      <c r="T652" s="408"/>
      <c r="U652" s="408"/>
      <c r="V652" s="408"/>
      <c r="W652" s="408"/>
      <c r="X652" s="408"/>
      <c r="Y652" s="408"/>
      <c r="Z652" s="408"/>
      <c r="AA652" s="408">
        <f t="shared" si="73"/>
        <v>97246</v>
      </c>
    </row>
    <row r="653" spans="1:27" s="362" customFormat="1" ht="15.75">
      <c r="A653" s="594"/>
      <c r="B653" s="594"/>
      <c r="C653" s="266"/>
      <c r="D653" s="14" t="s">
        <v>1428</v>
      </c>
      <c r="E653" s="142"/>
      <c r="F653" s="143"/>
      <c r="G653" s="142"/>
      <c r="H653" s="418">
        <v>3142</v>
      </c>
      <c r="I653" s="144">
        <v>15203154.36</v>
      </c>
      <c r="J653" s="144"/>
      <c r="K653" s="144"/>
      <c r="L653" s="49">
        <v>15203154.36</v>
      </c>
      <c r="M653" s="144"/>
      <c r="N653" s="408"/>
      <c r="O653" s="408"/>
      <c r="P653" s="408"/>
      <c r="Q653" s="408"/>
      <c r="R653" s="408"/>
      <c r="S653" s="408">
        <f>4560000-1000000</f>
        <v>3560000</v>
      </c>
      <c r="T653" s="408">
        <f>1500000-49000-12000-9113.41</f>
        <v>1429886.59</v>
      </c>
      <c r="U653" s="408">
        <f>2500000-28000</f>
        <v>2472000</v>
      </c>
      <c r="V653" s="408">
        <f>2500000-30000</f>
        <v>2470000</v>
      </c>
      <c r="W653" s="408">
        <f>2500000-1584000+1000000-95000</f>
        <v>1821000</v>
      </c>
      <c r="X653" s="408">
        <f>1500000+1584000+49000+165000</f>
        <v>3298000</v>
      </c>
      <c r="Y653" s="408">
        <f>143154.36+9113.41</f>
        <v>152267.77</v>
      </c>
      <c r="Z653" s="408"/>
      <c r="AA653" s="408">
        <f t="shared" si="73"/>
        <v>7461886.59</v>
      </c>
    </row>
    <row r="654" spans="1:27" s="362" customFormat="1" ht="31.5">
      <c r="A654" s="594"/>
      <c r="B654" s="594"/>
      <c r="C654" s="266"/>
      <c r="D654" s="14" t="s">
        <v>1429</v>
      </c>
      <c r="E654" s="142"/>
      <c r="F654" s="143"/>
      <c r="G654" s="142"/>
      <c r="H654" s="418">
        <v>3142</v>
      </c>
      <c r="I654" s="144">
        <v>1761527</v>
      </c>
      <c r="J654" s="144"/>
      <c r="K654" s="144"/>
      <c r="L654" s="49">
        <v>1761527</v>
      </c>
      <c r="M654" s="144"/>
      <c r="N654" s="408"/>
      <c r="O654" s="408"/>
      <c r="P654" s="408"/>
      <c r="Q654" s="408"/>
      <c r="R654" s="408"/>
      <c r="S654" s="408">
        <v>1761527</v>
      </c>
      <c r="T654" s="408"/>
      <c r="U654" s="408"/>
      <c r="V654" s="408"/>
      <c r="W654" s="408"/>
      <c r="X654" s="408"/>
      <c r="Y654" s="408"/>
      <c r="Z654" s="408"/>
      <c r="AA654" s="408">
        <f t="shared" si="73"/>
        <v>1761527</v>
      </c>
    </row>
    <row r="655" spans="1:27" s="362" customFormat="1" ht="31.5">
      <c r="A655" s="594"/>
      <c r="B655" s="594"/>
      <c r="C655" s="266"/>
      <c r="D655" s="1" t="s">
        <v>998</v>
      </c>
      <c r="E655" s="142"/>
      <c r="F655" s="143"/>
      <c r="G655" s="142"/>
      <c r="H655" s="418">
        <v>3122</v>
      </c>
      <c r="I655" s="144">
        <v>1510000</v>
      </c>
      <c r="J655" s="144"/>
      <c r="K655" s="144"/>
      <c r="L655" s="49">
        <v>1510000</v>
      </c>
      <c r="M655" s="144"/>
      <c r="N655" s="408"/>
      <c r="O655" s="408"/>
      <c r="P655" s="408"/>
      <c r="Q655" s="408"/>
      <c r="R655" s="408"/>
      <c r="S655" s="408"/>
      <c r="T655" s="408">
        <v>500000</v>
      </c>
      <c r="U655" s="408">
        <v>600000</v>
      </c>
      <c r="V655" s="408">
        <v>410000</v>
      </c>
      <c r="W655" s="408"/>
      <c r="X655" s="408"/>
      <c r="Y655" s="408"/>
      <c r="Z655" s="408"/>
      <c r="AA655" s="408">
        <f t="shared" si="73"/>
        <v>1100000</v>
      </c>
    </row>
    <row r="656" spans="1:27" s="362" customFormat="1" ht="31.5">
      <c r="A656" s="594"/>
      <c r="B656" s="594"/>
      <c r="C656" s="266"/>
      <c r="D656" s="375" t="s">
        <v>234</v>
      </c>
      <c r="E656" s="142"/>
      <c r="F656" s="143"/>
      <c r="G656" s="142"/>
      <c r="H656" s="418">
        <v>3142</v>
      </c>
      <c r="I656" s="144">
        <v>980000</v>
      </c>
      <c r="J656" s="144"/>
      <c r="K656" s="144"/>
      <c r="L656" s="49">
        <v>980000</v>
      </c>
      <c r="M656" s="144"/>
      <c r="N656" s="408"/>
      <c r="O656" s="408"/>
      <c r="P656" s="408"/>
      <c r="Q656" s="408"/>
      <c r="R656" s="408"/>
      <c r="S656" s="408"/>
      <c r="T656" s="408">
        <v>49000</v>
      </c>
      <c r="U656" s="408">
        <v>80000</v>
      </c>
      <c r="V656" s="408">
        <v>300000</v>
      </c>
      <c r="W656" s="408">
        <v>300000</v>
      </c>
      <c r="X656" s="408">
        <f>300000-49000</f>
        <v>251000</v>
      </c>
      <c r="Y656" s="408"/>
      <c r="Z656" s="408">
        <v>14700</v>
      </c>
      <c r="AA656" s="408">
        <f t="shared" si="73"/>
        <v>114300</v>
      </c>
    </row>
    <row r="657" spans="1:27" s="362" customFormat="1" ht="31.5">
      <c r="A657" s="594"/>
      <c r="B657" s="594"/>
      <c r="C657" s="266"/>
      <c r="D657" s="375" t="s">
        <v>1173</v>
      </c>
      <c r="E657" s="142"/>
      <c r="F657" s="143"/>
      <c r="G657" s="142"/>
      <c r="H657" s="418">
        <v>3142</v>
      </c>
      <c r="I657" s="144">
        <v>300000</v>
      </c>
      <c r="J657" s="144"/>
      <c r="K657" s="144"/>
      <c r="L657" s="49">
        <v>300000</v>
      </c>
      <c r="M657" s="144"/>
      <c r="N657" s="408"/>
      <c r="O657" s="408"/>
      <c r="P657" s="408"/>
      <c r="Q657" s="408"/>
      <c r="R657" s="408"/>
      <c r="S657" s="408"/>
      <c r="T657" s="408"/>
      <c r="U657" s="408">
        <v>30000</v>
      </c>
      <c r="V657" s="408">
        <v>90000</v>
      </c>
      <c r="W657" s="408">
        <v>90000</v>
      </c>
      <c r="X657" s="408">
        <v>90000</v>
      </c>
      <c r="Y657" s="408"/>
      <c r="Z657" s="408"/>
      <c r="AA657" s="408">
        <f t="shared" si="73"/>
        <v>30000</v>
      </c>
    </row>
    <row r="658" spans="1:27" s="362" customFormat="1" ht="32.25" customHeight="1">
      <c r="A658" s="591"/>
      <c r="B658" s="591"/>
      <c r="C658" s="266"/>
      <c r="D658" s="14" t="s">
        <v>191</v>
      </c>
      <c r="E658" s="142"/>
      <c r="F658" s="143"/>
      <c r="G658" s="142"/>
      <c r="H658" s="418">
        <v>3132</v>
      </c>
      <c r="I658" s="144">
        <v>90000</v>
      </c>
      <c r="J658" s="144"/>
      <c r="K658" s="144"/>
      <c r="L658" s="49">
        <v>90000</v>
      </c>
      <c r="M658" s="144"/>
      <c r="N658" s="408"/>
      <c r="O658" s="408"/>
      <c r="P658" s="408"/>
      <c r="Q658" s="408"/>
      <c r="R658" s="408">
        <v>90000</v>
      </c>
      <c r="S658" s="408"/>
      <c r="T658" s="408"/>
      <c r="U658" s="408"/>
      <c r="V658" s="408"/>
      <c r="W658" s="408"/>
      <c r="X658" s="408"/>
      <c r="Y658" s="408"/>
      <c r="Z658" s="408"/>
      <c r="AA658" s="408">
        <f t="shared" si="73"/>
        <v>90000</v>
      </c>
    </row>
    <row r="659" spans="1:27" s="362" customFormat="1" ht="15.75">
      <c r="A659" s="513">
        <v>170603</v>
      </c>
      <c r="B659" s="513" t="s">
        <v>192</v>
      </c>
      <c r="C659" s="266"/>
      <c r="D659" s="71" t="s">
        <v>1597</v>
      </c>
      <c r="E659" s="137"/>
      <c r="F659" s="138"/>
      <c r="G659" s="137"/>
      <c r="H659" s="417"/>
      <c r="I659" s="396">
        <f>SUM(I660:I661)</f>
        <v>4745470</v>
      </c>
      <c r="J659" s="396">
        <f>SUM(J660:J661)</f>
        <v>0</v>
      </c>
      <c r="K659" s="396">
        <f>SUM(K660:K661)</f>
        <v>0</v>
      </c>
      <c r="L659" s="396">
        <f>SUM(L660:L661)</f>
        <v>4745470</v>
      </c>
      <c r="M659" s="396">
        <f>SUM(M660:M661)</f>
        <v>0</v>
      </c>
      <c r="N659" s="396">
        <f aca="true" t="shared" si="81" ref="N659:Z659">SUM(N660:N661)</f>
        <v>0</v>
      </c>
      <c r="O659" s="396">
        <f t="shared" si="81"/>
        <v>0</v>
      </c>
      <c r="P659" s="396">
        <f t="shared" si="81"/>
        <v>0</v>
      </c>
      <c r="Q659" s="396">
        <f t="shared" si="81"/>
        <v>0</v>
      </c>
      <c r="R659" s="396">
        <f t="shared" si="81"/>
        <v>0</v>
      </c>
      <c r="S659" s="396">
        <f t="shared" si="81"/>
        <v>0</v>
      </c>
      <c r="T659" s="396">
        <f t="shared" si="81"/>
        <v>745470</v>
      </c>
      <c r="U659" s="396">
        <f t="shared" si="81"/>
        <v>0</v>
      </c>
      <c r="V659" s="396">
        <f t="shared" si="81"/>
        <v>0</v>
      </c>
      <c r="W659" s="396">
        <f t="shared" si="81"/>
        <v>0</v>
      </c>
      <c r="X659" s="396">
        <f t="shared" si="81"/>
        <v>2060000</v>
      </c>
      <c r="Y659" s="396">
        <f t="shared" si="81"/>
        <v>1940000</v>
      </c>
      <c r="Z659" s="396">
        <f t="shared" si="81"/>
        <v>0</v>
      </c>
      <c r="AA659" s="408">
        <f t="shared" si="73"/>
        <v>745470</v>
      </c>
    </row>
    <row r="660" spans="1:27" s="362" customFormat="1" ht="15.75">
      <c r="A660" s="514"/>
      <c r="B660" s="514"/>
      <c r="C660" s="266"/>
      <c r="D660" s="14" t="s">
        <v>1481</v>
      </c>
      <c r="E660" s="172"/>
      <c r="F660" s="229"/>
      <c r="G660" s="172"/>
      <c r="H660" s="418">
        <v>3110</v>
      </c>
      <c r="I660" s="144">
        <v>4000000</v>
      </c>
      <c r="J660" s="169"/>
      <c r="K660" s="169"/>
      <c r="L660" s="49">
        <v>4000000</v>
      </c>
      <c r="M660" s="169"/>
      <c r="N660" s="408"/>
      <c r="O660" s="408"/>
      <c r="P660" s="408"/>
      <c r="Q660" s="408"/>
      <c r="R660" s="408"/>
      <c r="S660" s="408"/>
      <c r="T660" s="408"/>
      <c r="U660" s="408">
        <f>4000000-4000000</f>
        <v>0</v>
      </c>
      <c r="V660" s="408"/>
      <c r="W660" s="408"/>
      <c r="X660" s="408">
        <v>2060000</v>
      </c>
      <c r="Y660" s="408">
        <v>1940000</v>
      </c>
      <c r="Z660" s="408"/>
      <c r="AA660" s="408">
        <f t="shared" si="73"/>
        <v>0</v>
      </c>
    </row>
    <row r="661" spans="1:27" s="362" customFormat="1" ht="15.75">
      <c r="A661" s="564"/>
      <c r="B661" s="564"/>
      <c r="C661" s="266"/>
      <c r="D661" s="14" t="s">
        <v>188</v>
      </c>
      <c r="E661" s="142"/>
      <c r="F661" s="143"/>
      <c r="G661" s="142"/>
      <c r="H661" s="418">
        <v>3110</v>
      </c>
      <c r="I661" s="144">
        <v>745470</v>
      </c>
      <c r="J661" s="144"/>
      <c r="K661" s="144"/>
      <c r="L661" s="49">
        <v>745470</v>
      </c>
      <c r="M661" s="144"/>
      <c r="N661" s="408"/>
      <c r="O661" s="408"/>
      <c r="P661" s="408"/>
      <c r="Q661" s="408"/>
      <c r="R661" s="408"/>
      <c r="S661" s="408"/>
      <c r="T661" s="408">
        <v>745470</v>
      </c>
      <c r="U661" s="408"/>
      <c r="V661" s="408"/>
      <c r="W661" s="408"/>
      <c r="X661" s="408"/>
      <c r="Y661" s="408"/>
      <c r="Z661" s="408"/>
      <c r="AA661" s="408">
        <f aca="true" t="shared" si="82" ref="AA661:AA724">N661+O661+P661+Q661+R661+S661+T661+U661-Z661</f>
        <v>745470</v>
      </c>
    </row>
    <row r="662" spans="1:61" s="28" customFormat="1" ht="15.75" customHeight="1">
      <c r="A662" s="513">
        <v>170703</v>
      </c>
      <c r="B662" s="513" t="s">
        <v>516</v>
      </c>
      <c r="C662" s="270"/>
      <c r="D662" s="71" t="s">
        <v>1597</v>
      </c>
      <c r="E662" s="137"/>
      <c r="F662" s="138"/>
      <c r="G662" s="137"/>
      <c r="H662" s="417"/>
      <c r="I662" s="139">
        <f>SUM(I663:I663)</f>
        <v>1400000</v>
      </c>
      <c r="J662" s="139">
        <f>SUM(J663:J663)</f>
        <v>0</v>
      </c>
      <c r="K662" s="139">
        <f>SUM(K663:K663)</f>
        <v>0</v>
      </c>
      <c r="L662" s="139">
        <f>SUM(L663:L663)</f>
        <v>1400000</v>
      </c>
      <c r="M662" s="139">
        <f>SUM(M663:M663)</f>
        <v>0</v>
      </c>
      <c r="N662" s="139">
        <f aca="true" t="shared" si="83" ref="N662:Z662">SUM(N663:N663)</f>
        <v>0</v>
      </c>
      <c r="O662" s="139">
        <f t="shared" si="83"/>
        <v>0</v>
      </c>
      <c r="P662" s="139">
        <f t="shared" si="83"/>
        <v>0</v>
      </c>
      <c r="Q662" s="139">
        <f t="shared" si="83"/>
        <v>0</v>
      </c>
      <c r="R662" s="139">
        <f t="shared" si="83"/>
        <v>100000</v>
      </c>
      <c r="S662" s="139">
        <f t="shared" si="83"/>
        <v>500000</v>
      </c>
      <c r="T662" s="139">
        <f t="shared" si="83"/>
        <v>500000</v>
      </c>
      <c r="U662" s="139">
        <f t="shared" si="83"/>
        <v>300000</v>
      </c>
      <c r="V662" s="139">
        <f t="shared" si="83"/>
        <v>0</v>
      </c>
      <c r="W662" s="139">
        <f t="shared" si="83"/>
        <v>0</v>
      </c>
      <c r="X662" s="139">
        <f t="shared" si="83"/>
        <v>0</v>
      </c>
      <c r="Y662" s="139">
        <f t="shared" si="83"/>
        <v>0</v>
      </c>
      <c r="Z662" s="139">
        <f t="shared" si="83"/>
        <v>0</v>
      </c>
      <c r="AA662" s="408">
        <f t="shared" si="82"/>
        <v>1400000</v>
      </c>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row>
    <row r="663" spans="1:27" s="45" customFormat="1" ht="31.5">
      <c r="A663" s="514"/>
      <c r="B663" s="514"/>
      <c r="C663" s="266"/>
      <c r="D663" s="14" t="s">
        <v>646</v>
      </c>
      <c r="E663" s="142"/>
      <c r="F663" s="143"/>
      <c r="G663" s="142"/>
      <c r="H663" s="418">
        <v>3142</v>
      </c>
      <c r="I663" s="144">
        <v>1400000</v>
      </c>
      <c r="J663" s="144"/>
      <c r="K663" s="144"/>
      <c r="L663" s="372">
        <v>1400000</v>
      </c>
      <c r="M663" s="144"/>
      <c r="N663" s="408"/>
      <c r="O663" s="408"/>
      <c r="P663" s="408"/>
      <c r="Q663" s="408"/>
      <c r="R663" s="408">
        <v>100000</v>
      </c>
      <c r="S663" s="408">
        <v>500000</v>
      </c>
      <c r="T663" s="408">
        <v>500000</v>
      </c>
      <c r="U663" s="408">
        <v>300000</v>
      </c>
      <c r="V663" s="408"/>
      <c r="W663" s="408"/>
      <c r="X663" s="408"/>
      <c r="Y663" s="408"/>
      <c r="Z663" s="408"/>
      <c r="AA663" s="408">
        <f t="shared" si="82"/>
        <v>1400000</v>
      </c>
    </row>
    <row r="664" spans="1:61" s="28" customFormat="1" ht="15.75" customHeight="1">
      <c r="A664" s="538">
        <v>180409</v>
      </c>
      <c r="B664" s="538" t="s">
        <v>1367</v>
      </c>
      <c r="C664" s="195"/>
      <c r="D664" s="216"/>
      <c r="E664" s="158"/>
      <c r="F664" s="159"/>
      <c r="G664" s="158"/>
      <c r="H664" s="420"/>
      <c r="I664" s="139">
        <f>I665+I674+I676+I680+I698+I732+I735+I737</f>
        <v>17095007.02</v>
      </c>
      <c r="J664" s="139">
        <f>J665+J674+J676+J680+J698+J732+J735+J737</f>
        <v>0</v>
      </c>
      <c r="K664" s="139">
        <f>K665+K674+K676+K680+K698+K732+K735+K737</f>
        <v>0</v>
      </c>
      <c r="L664" s="139">
        <f>L665+L674+L676+L680+L698+L732+L735+L737</f>
        <v>13972758.33</v>
      </c>
      <c r="M664" s="139">
        <f>M665+M674+M676+M680+M698+M732+M735+M737</f>
        <v>3252248.69</v>
      </c>
      <c r="N664" s="139">
        <f aca="true" t="shared" si="84" ref="N664:Z664">N665+N674+N676+N680+N698+N732+N735+N737</f>
        <v>0</v>
      </c>
      <c r="O664" s="139">
        <f t="shared" si="84"/>
        <v>0</v>
      </c>
      <c r="P664" s="139">
        <f t="shared" si="84"/>
        <v>0</v>
      </c>
      <c r="Q664" s="139">
        <f t="shared" si="84"/>
        <v>0</v>
      </c>
      <c r="R664" s="139">
        <f t="shared" si="84"/>
        <v>7739052.02</v>
      </c>
      <c r="S664" s="139">
        <f t="shared" si="84"/>
        <v>2358531</v>
      </c>
      <c r="T664" s="139">
        <f t="shared" si="84"/>
        <v>2700629</v>
      </c>
      <c r="U664" s="139">
        <f t="shared" si="84"/>
        <v>2304300</v>
      </c>
      <c r="V664" s="139">
        <f t="shared" si="84"/>
        <v>1021300</v>
      </c>
      <c r="W664" s="139">
        <f t="shared" si="84"/>
        <v>574662</v>
      </c>
      <c r="X664" s="139">
        <f t="shared" si="84"/>
        <v>201818</v>
      </c>
      <c r="Y664" s="139">
        <f t="shared" si="84"/>
        <v>194715</v>
      </c>
      <c r="Z664" s="139">
        <f t="shared" si="84"/>
        <v>3719389.94</v>
      </c>
      <c r="AA664" s="408">
        <f t="shared" si="82"/>
        <v>11383122.08</v>
      </c>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row>
    <row r="665" spans="1:27" s="30" customFormat="1" ht="18.75" customHeight="1">
      <c r="A665" s="512"/>
      <c r="B665" s="512"/>
      <c r="C665" s="135"/>
      <c r="D665" s="225" t="s">
        <v>1549</v>
      </c>
      <c r="E665" s="142"/>
      <c r="F665" s="143"/>
      <c r="G665" s="142"/>
      <c r="H665" s="418"/>
      <c r="I665" s="169">
        <f>SUM(I666:I673)</f>
        <v>8606742.27</v>
      </c>
      <c r="J665" s="169">
        <f>SUM(J666:J673)</f>
        <v>0</v>
      </c>
      <c r="K665" s="169">
        <f>SUM(K666:K673)</f>
        <v>0</v>
      </c>
      <c r="L665" s="169">
        <f>SUM(L666:L673)</f>
        <v>8325129.58</v>
      </c>
      <c r="M665" s="169">
        <f>SUM(M666:M673)</f>
        <v>411612.69</v>
      </c>
      <c r="N665" s="169">
        <f aca="true" t="shared" si="85" ref="N665:Z665">SUM(N666:N673)</f>
        <v>0</v>
      </c>
      <c r="O665" s="169">
        <f t="shared" si="85"/>
        <v>0</v>
      </c>
      <c r="P665" s="169">
        <f t="shared" si="85"/>
        <v>0</v>
      </c>
      <c r="Q665" s="169">
        <f t="shared" si="85"/>
        <v>0</v>
      </c>
      <c r="R665" s="169">
        <f t="shared" si="85"/>
        <v>6408842.27</v>
      </c>
      <c r="S665" s="169">
        <f t="shared" si="85"/>
        <v>70000</v>
      </c>
      <c r="T665" s="169">
        <f t="shared" si="85"/>
        <v>479300</v>
      </c>
      <c r="U665" s="169">
        <f t="shared" si="85"/>
        <v>969300</v>
      </c>
      <c r="V665" s="169">
        <f t="shared" si="85"/>
        <v>679300</v>
      </c>
      <c r="W665" s="169">
        <f t="shared" si="85"/>
        <v>0</v>
      </c>
      <c r="X665" s="169">
        <f t="shared" si="85"/>
        <v>0</v>
      </c>
      <c r="Y665" s="169">
        <f t="shared" si="85"/>
        <v>0</v>
      </c>
      <c r="Z665" s="169">
        <f t="shared" si="85"/>
        <v>1707863.76</v>
      </c>
      <c r="AA665" s="408">
        <f t="shared" si="82"/>
        <v>6219578.51</v>
      </c>
    </row>
    <row r="666" spans="1:27" s="369" customFormat="1" ht="31.5">
      <c r="A666" s="512"/>
      <c r="B666" s="512"/>
      <c r="C666" s="135" t="s">
        <v>1550</v>
      </c>
      <c r="D666" s="379" t="s">
        <v>647</v>
      </c>
      <c r="E666" s="142">
        <v>2000</v>
      </c>
      <c r="F666" s="143">
        <f>100%-((E666-G666)/E666)</f>
        <v>1</v>
      </c>
      <c r="G666" s="142">
        <v>2000</v>
      </c>
      <c r="H666" s="418">
        <v>3210</v>
      </c>
      <c r="I666" s="144">
        <v>1707863.76</v>
      </c>
      <c r="J666" s="144"/>
      <c r="K666" s="169"/>
      <c r="L666" s="49">
        <v>1707863.76</v>
      </c>
      <c r="M666" s="169"/>
      <c r="N666" s="408"/>
      <c r="O666" s="440"/>
      <c r="P666" s="440"/>
      <c r="Q666" s="440"/>
      <c r="R666" s="440">
        <v>1707863.76</v>
      </c>
      <c r="S666" s="440"/>
      <c r="T666" s="440"/>
      <c r="U666" s="440"/>
      <c r="V666" s="440"/>
      <c r="W666" s="440"/>
      <c r="X666" s="440"/>
      <c r="Y666" s="440"/>
      <c r="Z666" s="440">
        <v>1707863.76</v>
      </c>
      <c r="AA666" s="408">
        <f t="shared" si="82"/>
        <v>0</v>
      </c>
    </row>
    <row r="667" spans="1:27" s="369" customFormat="1" ht="31.5">
      <c r="A667" s="512"/>
      <c r="B667" s="512"/>
      <c r="C667" s="135" t="s">
        <v>693</v>
      </c>
      <c r="D667" s="75" t="s">
        <v>648</v>
      </c>
      <c r="E667" s="142">
        <v>4500</v>
      </c>
      <c r="F667" s="143">
        <f>100%-((E667-G667)/E667)</f>
        <v>1</v>
      </c>
      <c r="G667" s="142">
        <v>4500</v>
      </c>
      <c r="H667" s="418">
        <v>3210</v>
      </c>
      <c r="I667" s="144">
        <f>2037900-130000</f>
        <v>1907900</v>
      </c>
      <c r="J667" s="144"/>
      <c r="K667" s="169"/>
      <c r="L667" s="49">
        <v>2037900</v>
      </c>
      <c r="M667" s="169"/>
      <c r="N667" s="408"/>
      <c r="O667" s="440"/>
      <c r="P667" s="440"/>
      <c r="Q667" s="440"/>
      <c r="R667" s="440"/>
      <c r="S667" s="440">
        <f>200000-130000</f>
        <v>70000</v>
      </c>
      <c r="T667" s="440">
        <v>479300</v>
      </c>
      <c r="U667" s="440">
        <v>679300</v>
      </c>
      <c r="V667" s="440">
        <v>679300</v>
      </c>
      <c r="W667" s="440"/>
      <c r="X667" s="440"/>
      <c r="Y667" s="440"/>
      <c r="Z667" s="440"/>
      <c r="AA667" s="408">
        <f t="shared" si="82"/>
        <v>1228600</v>
      </c>
    </row>
    <row r="668" spans="1:27" s="369" customFormat="1" ht="15.75">
      <c r="A668" s="512"/>
      <c r="B668" s="512"/>
      <c r="C668" s="135"/>
      <c r="D668" s="75" t="s">
        <v>649</v>
      </c>
      <c r="E668" s="142">
        <v>538.478</v>
      </c>
      <c r="F668" s="143">
        <f>100%-((E668-G668)/E668)</f>
        <v>1</v>
      </c>
      <c r="G668" s="142">
        <v>538.487</v>
      </c>
      <c r="H668" s="418">
        <v>3210</v>
      </c>
      <c r="I668" s="144">
        <v>290000</v>
      </c>
      <c r="J668" s="144"/>
      <c r="K668" s="169"/>
      <c r="L668" s="49">
        <v>290000</v>
      </c>
      <c r="M668" s="169"/>
      <c r="N668" s="408"/>
      <c r="O668" s="440"/>
      <c r="P668" s="440"/>
      <c r="Q668" s="440"/>
      <c r="R668" s="440"/>
      <c r="S668" s="440"/>
      <c r="T668" s="440"/>
      <c r="U668" s="440">
        <v>290000</v>
      </c>
      <c r="V668" s="440"/>
      <c r="W668" s="440"/>
      <c r="X668" s="440"/>
      <c r="Y668" s="440"/>
      <c r="Z668" s="440"/>
      <c r="AA668" s="408">
        <f t="shared" si="82"/>
        <v>290000</v>
      </c>
    </row>
    <row r="669" spans="1:27" s="369" customFormat="1" ht="47.25">
      <c r="A669" s="512"/>
      <c r="B669" s="512"/>
      <c r="C669" s="135"/>
      <c r="D669" s="75" t="s">
        <v>1502</v>
      </c>
      <c r="E669" s="142">
        <v>97.516</v>
      </c>
      <c r="F669" s="143">
        <f>100%-((E669-G669)/E669)</f>
        <v>1</v>
      </c>
      <c r="G669" s="142">
        <v>97.516</v>
      </c>
      <c r="H669" s="418">
        <v>3210</v>
      </c>
      <c r="I669" s="144">
        <v>3478529.23</v>
      </c>
      <c r="J669" s="144"/>
      <c r="K669" s="169"/>
      <c r="L669" s="49">
        <v>3478529.23</v>
      </c>
      <c r="M669" s="169"/>
      <c r="N669" s="408"/>
      <c r="O669" s="440"/>
      <c r="P669" s="440"/>
      <c r="Q669" s="440"/>
      <c r="R669" s="440">
        <v>3478529.23</v>
      </c>
      <c r="S669" s="440"/>
      <c r="T669" s="440"/>
      <c r="U669" s="440"/>
      <c r="V669" s="440"/>
      <c r="W669" s="440"/>
      <c r="X669" s="440"/>
      <c r="Y669" s="440"/>
      <c r="Z669" s="440"/>
      <c r="AA669" s="408">
        <f t="shared" si="82"/>
        <v>3478529.23</v>
      </c>
    </row>
    <row r="670" spans="1:27" s="369" customFormat="1" ht="31.5">
      <c r="A670" s="512"/>
      <c r="B670" s="512"/>
      <c r="C670" s="135"/>
      <c r="D670" s="75" t="s">
        <v>1503</v>
      </c>
      <c r="E670" s="142"/>
      <c r="F670" s="143"/>
      <c r="G670" s="142"/>
      <c r="H670" s="418">
        <v>3210</v>
      </c>
      <c r="I670" s="144">
        <v>92347.2</v>
      </c>
      <c r="J670" s="144"/>
      <c r="K670" s="169"/>
      <c r="L670" s="49">
        <v>92347.2</v>
      </c>
      <c r="M670" s="169"/>
      <c r="N670" s="408"/>
      <c r="O670" s="440"/>
      <c r="P670" s="440"/>
      <c r="Q670" s="440"/>
      <c r="R670" s="49">
        <v>92347.2</v>
      </c>
      <c r="S670" s="440"/>
      <c r="T670" s="440"/>
      <c r="U670" s="440"/>
      <c r="V670" s="440"/>
      <c r="W670" s="440"/>
      <c r="X670" s="440"/>
      <c r="Y670" s="440"/>
      <c r="Z670" s="440"/>
      <c r="AA670" s="408">
        <f t="shared" si="82"/>
        <v>92347.2</v>
      </c>
    </row>
    <row r="671" spans="1:27" s="369" customFormat="1" ht="31.5">
      <c r="A671" s="512"/>
      <c r="B671" s="512"/>
      <c r="C671" s="135"/>
      <c r="D671" s="75" t="s">
        <v>1061</v>
      </c>
      <c r="E671" s="142"/>
      <c r="F671" s="143"/>
      <c r="G671" s="142"/>
      <c r="H671" s="418">
        <v>3210</v>
      </c>
      <c r="I671" s="144">
        <v>538446.36</v>
      </c>
      <c r="J671" s="144"/>
      <c r="K671" s="169"/>
      <c r="L671" s="49">
        <v>538446.36</v>
      </c>
      <c r="M671" s="169"/>
      <c r="N671" s="408"/>
      <c r="O671" s="440"/>
      <c r="P671" s="440"/>
      <c r="Q671" s="440"/>
      <c r="R671" s="49">
        <v>538446.36</v>
      </c>
      <c r="S671" s="440"/>
      <c r="T671" s="440"/>
      <c r="U671" s="440"/>
      <c r="V671" s="440"/>
      <c r="W671" s="440"/>
      <c r="X671" s="440"/>
      <c r="Y671" s="440"/>
      <c r="Z671" s="440"/>
      <c r="AA671" s="408">
        <f t="shared" si="82"/>
        <v>538446.36</v>
      </c>
    </row>
    <row r="672" spans="1:27" s="369" customFormat="1" ht="126">
      <c r="A672" s="512"/>
      <c r="B672" s="512"/>
      <c r="C672" s="135"/>
      <c r="D672" s="75" t="s">
        <v>1482</v>
      </c>
      <c r="E672" s="142"/>
      <c r="F672" s="143"/>
      <c r="G672" s="142"/>
      <c r="H672" s="418">
        <v>3210</v>
      </c>
      <c r="I672" s="144">
        <v>411612.69</v>
      </c>
      <c r="J672" s="144"/>
      <c r="K672" s="169"/>
      <c r="L672" s="49"/>
      <c r="M672" s="49">
        <v>411612.69</v>
      </c>
      <c r="N672" s="408"/>
      <c r="O672" s="440"/>
      <c r="P672" s="440"/>
      <c r="Q672" s="440"/>
      <c r="R672" s="440">
        <v>411612.69</v>
      </c>
      <c r="S672" s="440"/>
      <c r="T672" s="440"/>
      <c r="U672" s="440"/>
      <c r="V672" s="440"/>
      <c r="W672" s="440"/>
      <c r="X672" s="440"/>
      <c r="Y672" s="440"/>
      <c r="Z672" s="440"/>
      <c r="AA672" s="408">
        <f t="shared" si="82"/>
        <v>411612.69</v>
      </c>
    </row>
    <row r="673" spans="1:27" s="369" customFormat="1" ht="31.5">
      <c r="A673" s="512"/>
      <c r="B673" s="512"/>
      <c r="C673" s="135"/>
      <c r="D673" s="75" t="s">
        <v>1028</v>
      </c>
      <c r="E673" s="142"/>
      <c r="F673" s="143"/>
      <c r="G673" s="142"/>
      <c r="H673" s="418">
        <v>3210</v>
      </c>
      <c r="I673" s="144">
        <v>180043.03</v>
      </c>
      <c r="J673" s="144"/>
      <c r="K673" s="169"/>
      <c r="L673" s="49">
        <v>180043.03</v>
      </c>
      <c r="M673" s="169"/>
      <c r="N673" s="408"/>
      <c r="O673" s="440"/>
      <c r="P673" s="440"/>
      <c r="Q673" s="440"/>
      <c r="R673" s="49">
        <v>180043.03</v>
      </c>
      <c r="S673" s="440"/>
      <c r="T673" s="440"/>
      <c r="U673" s="440"/>
      <c r="V673" s="440"/>
      <c r="W673" s="440"/>
      <c r="X673" s="440"/>
      <c r="Y673" s="440"/>
      <c r="Z673" s="440"/>
      <c r="AA673" s="408">
        <f t="shared" si="82"/>
        <v>180043.03</v>
      </c>
    </row>
    <row r="674" spans="1:27" s="30" customFormat="1" ht="15.75">
      <c r="A674" s="512"/>
      <c r="B674" s="512"/>
      <c r="C674" s="135"/>
      <c r="D674" s="272" t="s">
        <v>477</v>
      </c>
      <c r="E674" s="142"/>
      <c r="F674" s="143"/>
      <c r="G674" s="142"/>
      <c r="H674" s="418"/>
      <c r="I674" s="169">
        <f>I675</f>
        <v>300000</v>
      </c>
      <c r="J674" s="169">
        <f>J675</f>
        <v>0</v>
      </c>
      <c r="K674" s="169">
        <f>K675</f>
        <v>0</v>
      </c>
      <c r="L674" s="169">
        <f>L675</f>
        <v>300000</v>
      </c>
      <c r="M674" s="169">
        <f>M675</f>
        <v>0</v>
      </c>
      <c r="N674" s="169">
        <f aca="true" t="shared" si="86" ref="N674:Z674">N675</f>
        <v>0</v>
      </c>
      <c r="O674" s="169">
        <f t="shared" si="86"/>
        <v>0</v>
      </c>
      <c r="P674" s="169">
        <f t="shared" si="86"/>
        <v>0</v>
      </c>
      <c r="Q674" s="169">
        <f t="shared" si="86"/>
        <v>0</v>
      </c>
      <c r="R674" s="169">
        <f t="shared" si="86"/>
        <v>0</v>
      </c>
      <c r="S674" s="169">
        <f t="shared" si="86"/>
        <v>0</v>
      </c>
      <c r="T674" s="169">
        <f t="shared" si="86"/>
        <v>12000</v>
      </c>
      <c r="U674" s="169">
        <f t="shared" si="86"/>
        <v>28000</v>
      </c>
      <c r="V674" s="169">
        <f t="shared" si="86"/>
        <v>30000</v>
      </c>
      <c r="W674" s="169">
        <f t="shared" si="86"/>
        <v>95000</v>
      </c>
      <c r="X674" s="169">
        <f t="shared" si="86"/>
        <v>135000</v>
      </c>
      <c r="Y674" s="169">
        <f t="shared" si="86"/>
        <v>0</v>
      </c>
      <c r="Z674" s="169">
        <f t="shared" si="86"/>
        <v>0</v>
      </c>
      <c r="AA674" s="408">
        <f t="shared" si="82"/>
        <v>40000</v>
      </c>
    </row>
    <row r="675" spans="1:27" s="30" customFormat="1" ht="15.75">
      <c r="A675" s="512"/>
      <c r="B675" s="512"/>
      <c r="C675" s="135"/>
      <c r="D675" s="276" t="s">
        <v>1029</v>
      </c>
      <c r="E675" s="142"/>
      <c r="F675" s="143"/>
      <c r="G675" s="142"/>
      <c r="H675" s="418">
        <v>3210</v>
      </c>
      <c r="I675" s="144">
        <v>300000</v>
      </c>
      <c r="J675" s="144"/>
      <c r="K675" s="169"/>
      <c r="L675" s="144">
        <v>300000</v>
      </c>
      <c r="M675" s="169"/>
      <c r="N675" s="408"/>
      <c r="O675" s="440"/>
      <c r="P675" s="440"/>
      <c r="Q675" s="440"/>
      <c r="R675" s="440"/>
      <c r="S675" s="440"/>
      <c r="T675" s="440">
        <v>12000</v>
      </c>
      <c r="U675" s="440">
        <v>28000</v>
      </c>
      <c r="V675" s="440">
        <v>30000</v>
      </c>
      <c r="W675" s="440">
        <f>300000-300000+95000</f>
        <v>95000</v>
      </c>
      <c r="X675" s="440">
        <f>300000-165000</f>
        <v>135000</v>
      </c>
      <c r="Y675" s="440"/>
      <c r="Z675" s="440"/>
      <c r="AA675" s="408">
        <f t="shared" si="82"/>
        <v>40000</v>
      </c>
    </row>
    <row r="676" spans="1:27" s="30" customFormat="1" ht="31.5">
      <c r="A676" s="512"/>
      <c r="B676" s="512"/>
      <c r="C676" s="274" t="s">
        <v>879</v>
      </c>
      <c r="D676" s="73" t="s">
        <v>880</v>
      </c>
      <c r="E676" s="142"/>
      <c r="F676" s="143"/>
      <c r="G676" s="142"/>
      <c r="H676" s="418"/>
      <c r="I676" s="74">
        <f>SUM(I677:I679)</f>
        <v>408500</v>
      </c>
      <c r="J676" s="74">
        <f>SUM(J677:J679)</f>
        <v>0</v>
      </c>
      <c r="K676" s="74">
        <f>SUM(K677:K679)</f>
        <v>0</v>
      </c>
      <c r="L676" s="74">
        <f>SUM(L677:L679)</f>
        <v>0</v>
      </c>
      <c r="M676" s="74">
        <f>SUM(M677:M679)</f>
        <v>408500</v>
      </c>
      <c r="N676" s="74">
        <f aca="true" t="shared" si="87" ref="N676:Z676">SUM(N677:N679)</f>
        <v>0</v>
      </c>
      <c r="O676" s="74">
        <f t="shared" si="87"/>
        <v>0</v>
      </c>
      <c r="P676" s="74">
        <f t="shared" si="87"/>
        <v>0</v>
      </c>
      <c r="Q676" s="74">
        <f t="shared" si="87"/>
        <v>0</v>
      </c>
      <c r="R676" s="74">
        <f t="shared" si="87"/>
        <v>248500</v>
      </c>
      <c r="S676" s="74">
        <f t="shared" si="87"/>
        <v>160000</v>
      </c>
      <c r="T676" s="74">
        <f t="shared" si="87"/>
        <v>0</v>
      </c>
      <c r="U676" s="74">
        <f t="shared" si="87"/>
        <v>0</v>
      </c>
      <c r="V676" s="74">
        <f t="shared" si="87"/>
        <v>0</v>
      </c>
      <c r="W676" s="74">
        <f t="shared" si="87"/>
        <v>0</v>
      </c>
      <c r="X676" s="74">
        <f t="shared" si="87"/>
        <v>0</v>
      </c>
      <c r="Y676" s="74">
        <f t="shared" si="87"/>
        <v>0</v>
      </c>
      <c r="Z676" s="74">
        <f t="shared" si="87"/>
        <v>0</v>
      </c>
      <c r="AA676" s="408">
        <f t="shared" si="82"/>
        <v>408500</v>
      </c>
    </row>
    <row r="677" spans="1:27" s="369" customFormat="1" ht="15.75">
      <c r="A677" s="512"/>
      <c r="B677" s="512"/>
      <c r="C677" s="274"/>
      <c r="D677" s="75" t="s">
        <v>1030</v>
      </c>
      <c r="E677" s="142">
        <v>98.78</v>
      </c>
      <c r="F677" s="143">
        <f>100%-((E677-G677)/E677)</f>
        <v>1</v>
      </c>
      <c r="G677" s="142">
        <v>98.78</v>
      </c>
      <c r="H677" s="418">
        <v>3210</v>
      </c>
      <c r="I677" s="144">
        <v>56000</v>
      </c>
      <c r="J677" s="76"/>
      <c r="K677" s="76"/>
      <c r="L677" s="49"/>
      <c r="M677" s="49">
        <v>56000</v>
      </c>
      <c r="N677" s="440"/>
      <c r="O677" s="440"/>
      <c r="P677" s="440"/>
      <c r="Q677" s="440"/>
      <c r="R677" s="440">
        <v>56000</v>
      </c>
      <c r="S677" s="440"/>
      <c r="T677" s="440"/>
      <c r="U677" s="440"/>
      <c r="V677" s="440"/>
      <c r="W677" s="440"/>
      <c r="X677" s="440"/>
      <c r="Y677" s="440"/>
      <c r="Z677" s="440"/>
      <c r="AA677" s="408">
        <f t="shared" si="82"/>
        <v>56000</v>
      </c>
    </row>
    <row r="678" spans="1:27" s="369" customFormat="1" ht="15.75">
      <c r="A678" s="512"/>
      <c r="B678" s="512"/>
      <c r="C678" s="274"/>
      <c r="D678" s="75" t="s">
        <v>1519</v>
      </c>
      <c r="E678" s="142"/>
      <c r="F678" s="143"/>
      <c r="G678" s="142"/>
      <c r="H678" s="418">
        <v>3210</v>
      </c>
      <c r="I678" s="144">
        <v>320000</v>
      </c>
      <c r="J678" s="76"/>
      <c r="K678" s="76"/>
      <c r="L678" s="49"/>
      <c r="M678" s="49">
        <v>320000</v>
      </c>
      <c r="N678" s="440"/>
      <c r="O678" s="440"/>
      <c r="P678" s="440"/>
      <c r="Q678" s="440"/>
      <c r="R678" s="440">
        <v>160000</v>
      </c>
      <c r="S678" s="440">
        <v>160000</v>
      </c>
      <c r="T678" s="440"/>
      <c r="U678" s="440"/>
      <c r="V678" s="440"/>
      <c r="W678" s="440"/>
      <c r="X678" s="440"/>
      <c r="Y678" s="440"/>
      <c r="Z678" s="440"/>
      <c r="AA678" s="408">
        <f t="shared" si="82"/>
        <v>320000</v>
      </c>
    </row>
    <row r="679" spans="1:27" s="369" customFormat="1" ht="15.75">
      <c r="A679" s="512"/>
      <c r="B679" s="512"/>
      <c r="C679" s="274"/>
      <c r="D679" s="75" t="s">
        <v>1520</v>
      </c>
      <c r="E679" s="142"/>
      <c r="F679" s="143"/>
      <c r="G679" s="142"/>
      <c r="H679" s="418">
        <v>3210</v>
      </c>
      <c r="I679" s="144">
        <v>32500</v>
      </c>
      <c r="J679" s="76"/>
      <c r="K679" s="76"/>
      <c r="L679" s="49"/>
      <c r="M679" s="49">
        <v>32500</v>
      </c>
      <c r="N679" s="440"/>
      <c r="O679" s="440"/>
      <c r="P679" s="440"/>
      <c r="Q679" s="440"/>
      <c r="R679" s="440">
        <v>32500</v>
      </c>
      <c r="S679" s="440"/>
      <c r="T679" s="440"/>
      <c r="U679" s="440"/>
      <c r="V679" s="440"/>
      <c r="W679" s="440"/>
      <c r="X679" s="440"/>
      <c r="Y679" s="440"/>
      <c r="Z679" s="440"/>
      <c r="AA679" s="408">
        <f t="shared" si="82"/>
        <v>32500</v>
      </c>
    </row>
    <row r="680" spans="1:27" s="30" customFormat="1" ht="15.75">
      <c r="A680" s="512"/>
      <c r="B680" s="512"/>
      <c r="C680" s="135"/>
      <c r="D680" s="225" t="s">
        <v>137</v>
      </c>
      <c r="E680" s="142"/>
      <c r="F680" s="143"/>
      <c r="G680" s="142"/>
      <c r="H680" s="418"/>
      <c r="I680" s="169">
        <f>SUM(I681:I686)</f>
        <v>2198000</v>
      </c>
      <c r="J680" s="169">
        <f>SUM(J681:J686)</f>
        <v>0</v>
      </c>
      <c r="K680" s="169">
        <f>SUM(K681:K686)</f>
        <v>0</v>
      </c>
      <c r="L680" s="169">
        <f>SUM(L681:L686)</f>
        <v>0</v>
      </c>
      <c r="M680" s="169">
        <f>SUM(M681:M686)</f>
        <v>2198000</v>
      </c>
      <c r="N680" s="169">
        <f aca="true" t="shared" si="88" ref="N680:Z680">SUM(N681:N686)</f>
        <v>0</v>
      </c>
      <c r="O680" s="169">
        <f t="shared" si="88"/>
        <v>0</v>
      </c>
      <c r="P680" s="169">
        <f t="shared" si="88"/>
        <v>0</v>
      </c>
      <c r="Q680" s="169">
        <f t="shared" si="88"/>
        <v>0</v>
      </c>
      <c r="R680" s="169">
        <f t="shared" si="88"/>
        <v>538000</v>
      </c>
      <c r="S680" s="169">
        <f t="shared" si="88"/>
        <v>300000</v>
      </c>
      <c r="T680" s="169">
        <f t="shared" si="88"/>
        <v>1360000</v>
      </c>
      <c r="U680" s="169">
        <f t="shared" si="88"/>
        <v>0</v>
      </c>
      <c r="V680" s="169">
        <f t="shared" si="88"/>
        <v>0</v>
      </c>
      <c r="W680" s="169">
        <f t="shared" si="88"/>
        <v>0</v>
      </c>
      <c r="X680" s="169">
        <f t="shared" si="88"/>
        <v>0</v>
      </c>
      <c r="Y680" s="169">
        <f t="shared" si="88"/>
        <v>0</v>
      </c>
      <c r="Z680" s="169">
        <f t="shared" si="88"/>
        <v>0</v>
      </c>
      <c r="AA680" s="408">
        <f t="shared" si="82"/>
        <v>2198000</v>
      </c>
    </row>
    <row r="681" spans="1:27" s="369" customFormat="1" ht="15.75">
      <c r="A681" s="512"/>
      <c r="B681" s="512"/>
      <c r="C681" s="135" t="s">
        <v>138</v>
      </c>
      <c r="D681" s="379" t="s">
        <v>1521</v>
      </c>
      <c r="E681" s="142"/>
      <c r="F681" s="143" t="e">
        <f>100%-((E681-G681)/E681)</f>
        <v>#DIV/0!</v>
      </c>
      <c r="G681" s="142"/>
      <c r="H681" s="418">
        <v>3210</v>
      </c>
      <c r="I681" s="144">
        <v>700000</v>
      </c>
      <c r="J681" s="169"/>
      <c r="K681" s="169"/>
      <c r="L681" s="49"/>
      <c r="M681" s="49">
        <v>700000</v>
      </c>
      <c r="N681" s="408"/>
      <c r="O681" s="440"/>
      <c r="P681" s="440"/>
      <c r="Q681" s="440"/>
      <c r="R681" s="440">
        <f>100000+300000</f>
        <v>400000</v>
      </c>
      <c r="S681" s="440">
        <v>300000</v>
      </c>
      <c r="T681" s="440">
        <f>300000-300000</f>
        <v>0</v>
      </c>
      <c r="U681" s="440"/>
      <c r="V681" s="440"/>
      <c r="W681" s="440"/>
      <c r="X681" s="440"/>
      <c r="Y681" s="440"/>
      <c r="Z681" s="440"/>
      <c r="AA681" s="408">
        <f t="shared" si="82"/>
        <v>700000</v>
      </c>
    </row>
    <row r="682" spans="1:27" s="369" customFormat="1" ht="19.5" customHeight="1">
      <c r="A682" s="512"/>
      <c r="B682" s="512"/>
      <c r="C682" s="135"/>
      <c r="D682" s="75" t="s">
        <v>1522</v>
      </c>
      <c r="E682" s="142"/>
      <c r="F682" s="143"/>
      <c r="G682" s="142"/>
      <c r="H682" s="418">
        <v>3210</v>
      </c>
      <c r="I682" s="144">
        <v>68000</v>
      </c>
      <c r="J682" s="169"/>
      <c r="K682" s="169"/>
      <c r="L682" s="49"/>
      <c r="M682" s="49">
        <v>68000</v>
      </c>
      <c r="N682" s="408"/>
      <c r="O682" s="440"/>
      <c r="P682" s="440"/>
      <c r="Q682" s="440"/>
      <c r="R682" s="440">
        <v>68000</v>
      </c>
      <c r="S682" s="440"/>
      <c r="T682" s="440"/>
      <c r="U682" s="440"/>
      <c r="V682" s="440"/>
      <c r="W682" s="440"/>
      <c r="X682" s="440"/>
      <c r="Y682" s="440"/>
      <c r="Z682" s="440"/>
      <c r="AA682" s="408">
        <f t="shared" si="82"/>
        <v>68000</v>
      </c>
    </row>
    <row r="683" spans="1:27" s="369" customFormat="1" ht="15.75">
      <c r="A683" s="512"/>
      <c r="B683" s="512"/>
      <c r="C683" s="135" t="s">
        <v>146</v>
      </c>
      <c r="D683" s="75" t="s">
        <v>1523</v>
      </c>
      <c r="E683" s="142">
        <v>50</v>
      </c>
      <c r="F683" s="143">
        <f>100%-((E683-G683)/E683)</f>
        <v>1</v>
      </c>
      <c r="G683" s="142">
        <v>50</v>
      </c>
      <c r="H683" s="418">
        <v>3210</v>
      </c>
      <c r="I683" s="144">
        <v>950000</v>
      </c>
      <c r="J683" s="144"/>
      <c r="K683" s="169"/>
      <c r="L683" s="49"/>
      <c r="M683" s="49">
        <v>950000</v>
      </c>
      <c r="N683" s="408"/>
      <c r="O683" s="440"/>
      <c r="P683" s="440"/>
      <c r="Q683" s="440"/>
      <c r="R683" s="440"/>
      <c r="S683" s="440"/>
      <c r="T683" s="440">
        <v>950000</v>
      </c>
      <c r="U683" s="440"/>
      <c r="V683" s="440"/>
      <c r="W683" s="440"/>
      <c r="X683" s="440"/>
      <c r="Y683" s="440"/>
      <c r="Z683" s="440"/>
      <c r="AA683" s="408">
        <f t="shared" si="82"/>
        <v>950000</v>
      </c>
    </row>
    <row r="684" spans="1:27" s="369" customFormat="1" ht="15.75">
      <c r="A684" s="512"/>
      <c r="B684" s="512"/>
      <c r="C684" s="135"/>
      <c r="D684" s="75" t="s">
        <v>1524</v>
      </c>
      <c r="E684" s="142"/>
      <c r="F684" s="143"/>
      <c r="G684" s="142"/>
      <c r="H684" s="418">
        <v>3210</v>
      </c>
      <c r="I684" s="144">
        <v>410000</v>
      </c>
      <c r="J684" s="144"/>
      <c r="K684" s="169"/>
      <c r="L684" s="49"/>
      <c r="M684" s="49">
        <v>410000</v>
      </c>
      <c r="N684" s="408"/>
      <c r="O684" s="440"/>
      <c r="P684" s="440"/>
      <c r="Q684" s="440"/>
      <c r="R684" s="440"/>
      <c r="S684" s="440"/>
      <c r="T684" s="440">
        <v>410000</v>
      </c>
      <c r="U684" s="440"/>
      <c r="V684" s="440"/>
      <c r="W684" s="440"/>
      <c r="X684" s="440"/>
      <c r="Y684" s="440"/>
      <c r="Z684" s="440"/>
      <c r="AA684" s="408">
        <f t="shared" si="82"/>
        <v>410000</v>
      </c>
    </row>
    <row r="685" spans="1:27" s="369" customFormat="1" ht="15.75">
      <c r="A685" s="512"/>
      <c r="B685" s="512"/>
      <c r="C685" s="135"/>
      <c r="D685" s="75" t="s">
        <v>1525</v>
      </c>
      <c r="E685" s="142"/>
      <c r="F685" s="143"/>
      <c r="G685" s="142"/>
      <c r="H685" s="418">
        <v>3210</v>
      </c>
      <c r="I685" s="144">
        <v>20000</v>
      </c>
      <c r="J685" s="144"/>
      <c r="K685" s="169"/>
      <c r="L685" s="49"/>
      <c r="M685" s="49">
        <v>20000</v>
      </c>
      <c r="N685" s="408"/>
      <c r="O685" s="440"/>
      <c r="P685" s="440"/>
      <c r="Q685" s="440"/>
      <c r="R685" s="440">
        <v>20000</v>
      </c>
      <c r="S685" s="440"/>
      <c r="T685" s="440"/>
      <c r="U685" s="440"/>
      <c r="V685" s="440"/>
      <c r="W685" s="440"/>
      <c r="X685" s="440"/>
      <c r="Y685" s="440"/>
      <c r="Z685" s="440"/>
      <c r="AA685" s="408">
        <f t="shared" si="82"/>
        <v>20000</v>
      </c>
    </row>
    <row r="686" spans="1:27" s="369" customFormat="1" ht="15.75">
      <c r="A686" s="512"/>
      <c r="B686" s="512"/>
      <c r="C686" s="135"/>
      <c r="D686" s="379" t="s">
        <v>147</v>
      </c>
      <c r="E686" s="142"/>
      <c r="F686" s="143"/>
      <c r="G686" s="142"/>
      <c r="H686" s="418">
        <v>3210</v>
      </c>
      <c r="I686" s="144">
        <v>50000</v>
      </c>
      <c r="J686" s="144"/>
      <c r="K686" s="169"/>
      <c r="L686" s="49"/>
      <c r="M686" s="49">
        <v>50000</v>
      </c>
      <c r="N686" s="408"/>
      <c r="O686" s="440"/>
      <c r="P686" s="440"/>
      <c r="Q686" s="440"/>
      <c r="R686" s="440">
        <v>50000</v>
      </c>
      <c r="S686" s="440"/>
      <c r="T686" s="440"/>
      <c r="U686" s="440"/>
      <c r="V686" s="440"/>
      <c r="W686" s="440"/>
      <c r="X686" s="440"/>
      <c r="Y686" s="440"/>
      <c r="Z686" s="440"/>
      <c r="AA686" s="408">
        <f t="shared" si="82"/>
        <v>50000</v>
      </c>
    </row>
    <row r="687" spans="1:27" s="30" customFormat="1" ht="15.75" hidden="1">
      <c r="A687" s="512"/>
      <c r="B687" s="512"/>
      <c r="C687" s="166"/>
      <c r="D687" s="272" t="s">
        <v>953</v>
      </c>
      <c r="E687" s="172"/>
      <c r="F687" s="229"/>
      <c r="G687" s="172"/>
      <c r="H687" s="418">
        <v>3210</v>
      </c>
      <c r="I687" s="169" t="e">
        <f>J687+K687+L687+M687+#REF!+#REF!</f>
        <v>#REF!</v>
      </c>
      <c r="J687" s="169">
        <f>SUM(J688:J697)</f>
        <v>0</v>
      </c>
      <c r="K687" s="169"/>
      <c r="L687" s="169">
        <f>SUM(L688:L697)</f>
        <v>0</v>
      </c>
      <c r="M687" s="169">
        <f>SUM(M688:M697)</f>
        <v>0</v>
      </c>
      <c r="N687" s="440"/>
      <c r="O687" s="440"/>
      <c r="P687" s="440"/>
      <c r="Q687" s="440"/>
      <c r="R687" s="440"/>
      <c r="S687" s="440"/>
      <c r="T687" s="440"/>
      <c r="U687" s="440"/>
      <c r="V687" s="440"/>
      <c r="W687" s="440"/>
      <c r="X687" s="440"/>
      <c r="Y687" s="440"/>
      <c r="Z687" s="440"/>
      <c r="AA687" s="408">
        <f t="shared" si="82"/>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12"/>
      <c r="B693" s="512"/>
      <c r="C693" s="135"/>
      <c r="D693" s="276"/>
      <c r="E693" s="142"/>
      <c r="F693" s="143"/>
      <c r="G693" s="142"/>
      <c r="H693" s="418">
        <v>3210</v>
      </c>
      <c r="I693" s="144" t="e">
        <f>J693+K693+L693+M693+#REF!+#REF!</f>
        <v>#REF!</v>
      </c>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12"/>
      <c r="B694" s="512"/>
      <c r="C694" s="135"/>
      <c r="D694" s="276"/>
      <c r="E694" s="142"/>
      <c r="F694" s="143"/>
      <c r="G694" s="142"/>
      <c r="H694" s="418">
        <v>3210</v>
      </c>
      <c r="I694" s="144"/>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hidden="1">
      <c r="A697" s="512"/>
      <c r="B697" s="512"/>
      <c r="C697" s="135"/>
      <c r="D697" s="276"/>
      <c r="E697" s="142"/>
      <c r="F697" s="143"/>
      <c r="G697" s="142"/>
      <c r="H697" s="418">
        <v>3210</v>
      </c>
      <c r="I697" s="144" t="e">
        <f>J697+K697+L697+M697+#REF!+#REF!</f>
        <v>#REF!</v>
      </c>
      <c r="J697" s="144"/>
      <c r="K697" s="169"/>
      <c r="L697" s="144"/>
      <c r="M697" s="169"/>
      <c r="N697" s="408"/>
      <c r="O697" s="440"/>
      <c r="P697" s="440"/>
      <c r="Q697" s="440"/>
      <c r="R697" s="440"/>
      <c r="S697" s="440"/>
      <c r="T697" s="440"/>
      <c r="U697" s="440"/>
      <c r="V697" s="440"/>
      <c r="W697" s="440"/>
      <c r="X697" s="440"/>
      <c r="Y697" s="440"/>
      <c r="Z697" s="440"/>
      <c r="AA697" s="408">
        <f t="shared" si="82"/>
        <v>0</v>
      </c>
    </row>
    <row r="698" spans="1:27" s="30" customFormat="1" ht="15.75">
      <c r="A698" s="512"/>
      <c r="B698" s="512"/>
      <c r="C698" s="135"/>
      <c r="D698" s="272" t="s">
        <v>1438</v>
      </c>
      <c r="E698" s="142"/>
      <c r="F698" s="143"/>
      <c r="G698" s="142"/>
      <c r="H698" s="418"/>
      <c r="I698" s="169">
        <f>SUM(I699:I731)</f>
        <v>4778668.75</v>
      </c>
      <c r="J698" s="169">
        <f>SUM(J699:J731)</f>
        <v>0</v>
      </c>
      <c r="K698" s="169">
        <f>SUM(K699:K731)</f>
        <v>0</v>
      </c>
      <c r="L698" s="169">
        <f>SUM(L699:L731)</f>
        <v>4544532.75</v>
      </c>
      <c r="M698" s="169">
        <f>SUM(M699:M731)</f>
        <v>234136</v>
      </c>
      <c r="N698" s="169">
        <f aca="true" t="shared" si="89" ref="N698:Z698">SUM(N699:N731)</f>
        <v>0</v>
      </c>
      <c r="O698" s="169">
        <f t="shared" si="89"/>
        <v>0</v>
      </c>
      <c r="P698" s="169">
        <f t="shared" si="89"/>
        <v>0</v>
      </c>
      <c r="Q698" s="169">
        <f t="shared" si="89"/>
        <v>0</v>
      </c>
      <c r="R698" s="169">
        <f t="shared" si="89"/>
        <v>500709.75</v>
      </c>
      <c r="S698" s="169">
        <f t="shared" si="89"/>
        <v>1477531</v>
      </c>
      <c r="T698" s="169">
        <f t="shared" si="89"/>
        <v>590233</v>
      </c>
      <c r="U698" s="169">
        <f t="shared" si="89"/>
        <v>1297000</v>
      </c>
      <c r="V698" s="169">
        <f t="shared" si="89"/>
        <v>212000</v>
      </c>
      <c r="W698" s="169">
        <f t="shared" si="89"/>
        <v>439662</v>
      </c>
      <c r="X698" s="169">
        <f t="shared" si="89"/>
        <v>66818</v>
      </c>
      <c r="Y698" s="169">
        <f t="shared" si="89"/>
        <v>194715</v>
      </c>
      <c r="Z698" s="169">
        <f t="shared" si="89"/>
        <v>1988057.57</v>
      </c>
      <c r="AA698" s="408">
        <f t="shared" si="82"/>
        <v>1877416.18</v>
      </c>
    </row>
    <row r="699" spans="1:27" s="369" customFormat="1" ht="31.5">
      <c r="A699" s="512"/>
      <c r="B699" s="512"/>
      <c r="C699" s="135" t="s">
        <v>572</v>
      </c>
      <c r="D699" s="379" t="s">
        <v>259</v>
      </c>
      <c r="E699" s="142">
        <v>120</v>
      </c>
      <c r="F699" s="143">
        <f>100%-((E699-G699)/E699)</f>
        <v>1</v>
      </c>
      <c r="G699" s="142">
        <v>120</v>
      </c>
      <c r="H699" s="418">
        <v>3210</v>
      </c>
      <c r="I699" s="144">
        <v>88505</v>
      </c>
      <c r="J699" s="144"/>
      <c r="K699" s="144"/>
      <c r="L699" s="49">
        <v>88505</v>
      </c>
      <c r="M699" s="169"/>
      <c r="N699" s="440"/>
      <c r="O699" s="440"/>
      <c r="P699" s="440"/>
      <c r="Q699" s="440"/>
      <c r="R699" s="440"/>
      <c r="S699" s="440"/>
      <c r="T699" s="440"/>
      <c r="U699" s="440"/>
      <c r="V699" s="440"/>
      <c r="W699" s="440"/>
      <c r="X699" s="440"/>
      <c r="Y699" s="49">
        <v>88505</v>
      </c>
      <c r="Z699" s="440"/>
      <c r="AA699" s="408">
        <f t="shared" si="82"/>
        <v>0</v>
      </c>
    </row>
    <row r="700" spans="1:27" s="362" customFormat="1" ht="31.5">
      <c r="A700" s="512"/>
      <c r="B700" s="512"/>
      <c r="C700" s="135" t="s">
        <v>958</v>
      </c>
      <c r="D700" s="379" t="s">
        <v>1501</v>
      </c>
      <c r="E700" s="142">
        <v>33.368</v>
      </c>
      <c r="F700" s="143">
        <f>100%-((E700-G700)/E700)</f>
        <v>1</v>
      </c>
      <c r="G700" s="142">
        <v>33.368</v>
      </c>
      <c r="H700" s="418">
        <v>3210</v>
      </c>
      <c r="I700" s="144">
        <v>840000</v>
      </c>
      <c r="J700" s="144"/>
      <c r="K700" s="144"/>
      <c r="L700" s="49">
        <v>840000</v>
      </c>
      <c r="M700" s="144"/>
      <c r="N700" s="408"/>
      <c r="O700" s="408"/>
      <c r="P700" s="408"/>
      <c r="Q700" s="408"/>
      <c r="R700" s="408"/>
      <c r="S700" s="408"/>
      <c r="T700" s="408"/>
      <c r="U700" s="408">
        <v>840000</v>
      </c>
      <c r="V700" s="408"/>
      <c r="W700" s="408"/>
      <c r="X700" s="408"/>
      <c r="Y700" s="408"/>
      <c r="Z700" s="408"/>
      <c r="AA700" s="408">
        <f t="shared" si="82"/>
        <v>840000</v>
      </c>
    </row>
    <row r="701" spans="1:27" s="362" customFormat="1" ht="31.5">
      <c r="A701" s="512"/>
      <c r="B701" s="512"/>
      <c r="C701" s="135" t="s">
        <v>165</v>
      </c>
      <c r="D701" s="379" t="s">
        <v>284</v>
      </c>
      <c r="E701" s="142">
        <v>32.801</v>
      </c>
      <c r="F701" s="143">
        <f>100%-((E701-G701)/E701)</f>
        <v>1</v>
      </c>
      <c r="G701" s="142">
        <v>32.801</v>
      </c>
      <c r="H701" s="418">
        <v>3210</v>
      </c>
      <c r="I701" s="144">
        <v>100000</v>
      </c>
      <c r="J701" s="144"/>
      <c r="K701" s="144"/>
      <c r="L701" s="49">
        <v>100000</v>
      </c>
      <c r="M701" s="144"/>
      <c r="N701" s="408"/>
      <c r="O701" s="408"/>
      <c r="P701" s="408"/>
      <c r="Q701" s="408"/>
      <c r="R701" s="408"/>
      <c r="S701" s="49">
        <v>100000</v>
      </c>
      <c r="T701" s="408"/>
      <c r="U701" s="408"/>
      <c r="V701" s="408"/>
      <c r="W701" s="408"/>
      <c r="X701" s="408"/>
      <c r="Y701" s="408"/>
      <c r="Z701" s="408"/>
      <c r="AA701" s="408">
        <f t="shared" si="82"/>
        <v>100000</v>
      </c>
    </row>
    <row r="702" spans="1:27" s="362" customFormat="1" ht="31.5">
      <c r="A702" s="512"/>
      <c r="B702" s="512"/>
      <c r="C702" s="135" t="s">
        <v>1400</v>
      </c>
      <c r="D702" s="379" t="s">
        <v>1415</v>
      </c>
      <c r="E702" s="142">
        <v>61.707</v>
      </c>
      <c r="F702" s="143">
        <f>100%-((E702-G702)/E702)</f>
        <v>1</v>
      </c>
      <c r="G702" s="142">
        <v>61.707</v>
      </c>
      <c r="H702" s="418">
        <v>3210</v>
      </c>
      <c r="I702" s="144">
        <v>122123</v>
      </c>
      <c r="J702" s="144"/>
      <c r="K702" s="144"/>
      <c r="L702" s="49">
        <v>122123</v>
      </c>
      <c r="M702" s="144"/>
      <c r="N702" s="408"/>
      <c r="O702" s="408"/>
      <c r="P702" s="408"/>
      <c r="Q702" s="408"/>
      <c r="R702" s="408"/>
      <c r="S702" s="49">
        <v>122123</v>
      </c>
      <c r="T702" s="408"/>
      <c r="U702" s="408"/>
      <c r="V702" s="408"/>
      <c r="W702" s="408"/>
      <c r="X702" s="408"/>
      <c r="Y702" s="408"/>
      <c r="Z702" s="408">
        <v>121089.24</v>
      </c>
      <c r="AA702" s="408">
        <f t="shared" si="82"/>
        <v>1033.76</v>
      </c>
    </row>
    <row r="703" spans="1:27" s="362" customFormat="1" ht="31.5">
      <c r="A703" s="512"/>
      <c r="B703" s="512"/>
      <c r="C703" s="135" t="s">
        <v>621</v>
      </c>
      <c r="D703" s="379" t="s">
        <v>285</v>
      </c>
      <c r="E703" s="142">
        <v>21.67</v>
      </c>
      <c r="F703" s="143">
        <f>100%-((E703-G703)/E703)</f>
        <v>1</v>
      </c>
      <c r="G703" s="142">
        <v>21.67</v>
      </c>
      <c r="H703" s="418">
        <v>3210</v>
      </c>
      <c r="I703" s="144">
        <v>100000</v>
      </c>
      <c r="J703" s="144"/>
      <c r="K703" s="144"/>
      <c r="L703" s="49">
        <v>100000</v>
      </c>
      <c r="M703" s="144"/>
      <c r="N703" s="408"/>
      <c r="O703" s="408"/>
      <c r="P703" s="408"/>
      <c r="Q703" s="408"/>
      <c r="R703" s="49">
        <v>100000</v>
      </c>
      <c r="S703" s="408"/>
      <c r="T703" s="408"/>
      <c r="U703" s="408"/>
      <c r="V703" s="408"/>
      <c r="W703" s="408"/>
      <c r="X703" s="408"/>
      <c r="Y703" s="408"/>
      <c r="Z703" s="408"/>
      <c r="AA703" s="408">
        <f t="shared" si="82"/>
        <v>100000</v>
      </c>
    </row>
    <row r="704" spans="1:27" s="362" customFormat="1" ht="31.5">
      <c r="A704" s="512"/>
      <c r="B704" s="512"/>
      <c r="C704" s="135" t="s">
        <v>1486</v>
      </c>
      <c r="D704" s="379" t="s">
        <v>286</v>
      </c>
      <c r="E704" s="142">
        <v>200</v>
      </c>
      <c r="F704" s="143">
        <v>1</v>
      </c>
      <c r="G704" s="142">
        <v>200</v>
      </c>
      <c r="H704" s="418">
        <v>3210</v>
      </c>
      <c r="I704" s="144">
        <v>50070</v>
      </c>
      <c r="J704" s="144"/>
      <c r="K704" s="144"/>
      <c r="L704" s="49">
        <v>50070</v>
      </c>
      <c r="M704" s="144"/>
      <c r="N704" s="408"/>
      <c r="O704" s="408"/>
      <c r="P704" s="408"/>
      <c r="Q704" s="408"/>
      <c r="R704" s="49">
        <v>50070</v>
      </c>
      <c r="S704" s="408"/>
      <c r="T704" s="408"/>
      <c r="U704" s="408"/>
      <c r="V704" s="408"/>
      <c r="W704" s="408"/>
      <c r="X704" s="408"/>
      <c r="Y704" s="408"/>
      <c r="Z704" s="408">
        <v>44420.74</v>
      </c>
      <c r="AA704" s="408">
        <f t="shared" si="82"/>
        <v>5649.26</v>
      </c>
    </row>
    <row r="705" spans="1:27" s="362" customFormat="1" ht="31.5">
      <c r="A705" s="512"/>
      <c r="B705" s="512"/>
      <c r="C705" s="135" t="s">
        <v>627</v>
      </c>
      <c r="D705" s="75" t="s">
        <v>287</v>
      </c>
      <c r="E705" s="142">
        <v>17.318</v>
      </c>
      <c r="F705" s="143">
        <f aca="true" t="shared" si="90" ref="F705:F718">100%-((E705-G705)/E705)</f>
        <v>1</v>
      </c>
      <c r="G705" s="142">
        <v>17.318</v>
      </c>
      <c r="H705" s="418">
        <v>3210</v>
      </c>
      <c r="I705" s="144">
        <v>296733</v>
      </c>
      <c r="J705" s="144"/>
      <c r="K705" s="144"/>
      <c r="L705" s="49">
        <v>296733</v>
      </c>
      <c r="M705" s="144"/>
      <c r="N705" s="408"/>
      <c r="O705" s="408"/>
      <c r="P705" s="408"/>
      <c r="Q705" s="408"/>
      <c r="R705" s="49"/>
      <c r="S705" s="408"/>
      <c r="T705" s="49">
        <v>296733</v>
      </c>
      <c r="U705" s="408"/>
      <c r="V705" s="408"/>
      <c r="W705" s="408"/>
      <c r="X705" s="408"/>
      <c r="Y705" s="408"/>
      <c r="Z705" s="408">
        <v>237441.54</v>
      </c>
      <c r="AA705" s="408">
        <f t="shared" si="82"/>
        <v>59291.46</v>
      </c>
    </row>
    <row r="706" spans="1:27" s="362" customFormat="1" ht="31.5">
      <c r="A706" s="512"/>
      <c r="B706" s="512"/>
      <c r="C706" s="135"/>
      <c r="D706" s="75" t="s">
        <v>288</v>
      </c>
      <c r="E706" s="142">
        <v>123.5</v>
      </c>
      <c r="F706" s="143">
        <f t="shared" si="90"/>
        <v>1</v>
      </c>
      <c r="G706" s="142">
        <v>123.5</v>
      </c>
      <c r="H706" s="418">
        <v>3210</v>
      </c>
      <c r="I706" s="144">
        <v>103743.75</v>
      </c>
      <c r="J706" s="144"/>
      <c r="K706" s="144"/>
      <c r="L706" s="49">
        <v>103743.75</v>
      </c>
      <c r="M706" s="144"/>
      <c r="N706" s="408"/>
      <c r="O706" s="408"/>
      <c r="P706" s="408"/>
      <c r="Q706" s="408"/>
      <c r="R706" s="49">
        <v>103743.75</v>
      </c>
      <c r="S706" s="408"/>
      <c r="T706" s="408"/>
      <c r="U706" s="408"/>
      <c r="V706" s="408"/>
      <c r="W706" s="408"/>
      <c r="X706" s="408"/>
      <c r="Y706" s="408"/>
      <c r="Z706" s="408">
        <v>103583.83</v>
      </c>
      <c r="AA706" s="408">
        <f t="shared" si="82"/>
        <v>159.92</v>
      </c>
    </row>
    <row r="707" spans="1:27" s="362" customFormat="1" ht="31.5">
      <c r="A707" s="512"/>
      <c r="B707" s="512"/>
      <c r="C707" s="135"/>
      <c r="D707" s="75" t="s">
        <v>1560</v>
      </c>
      <c r="E707" s="142">
        <v>80</v>
      </c>
      <c r="F707" s="143">
        <f t="shared" si="90"/>
        <v>1</v>
      </c>
      <c r="G707" s="142">
        <v>80</v>
      </c>
      <c r="H707" s="418">
        <v>3210</v>
      </c>
      <c r="I707" s="144">
        <v>19440</v>
      </c>
      <c r="J707" s="144"/>
      <c r="K707" s="144"/>
      <c r="L707" s="49">
        <v>19440</v>
      </c>
      <c r="M707" s="144"/>
      <c r="N707" s="408"/>
      <c r="O707" s="408"/>
      <c r="P707" s="408"/>
      <c r="Q707" s="408"/>
      <c r="R707" s="49">
        <v>19440</v>
      </c>
      <c r="S707" s="408"/>
      <c r="T707" s="408"/>
      <c r="U707" s="408"/>
      <c r="V707" s="408"/>
      <c r="W707" s="408"/>
      <c r="X707" s="408"/>
      <c r="Y707" s="408"/>
      <c r="Z707" s="408">
        <v>15009.6</v>
      </c>
      <c r="AA707" s="408">
        <f t="shared" si="82"/>
        <v>4430.4</v>
      </c>
    </row>
    <row r="708" spans="1:27" s="362" customFormat="1" ht="31.5">
      <c r="A708" s="512"/>
      <c r="B708" s="512"/>
      <c r="C708" s="135"/>
      <c r="D708" s="75" t="s">
        <v>302</v>
      </c>
      <c r="E708" s="142">
        <v>50</v>
      </c>
      <c r="F708" s="143">
        <f t="shared" si="90"/>
        <v>1</v>
      </c>
      <c r="G708" s="142">
        <v>50</v>
      </c>
      <c r="H708" s="418">
        <v>3210</v>
      </c>
      <c r="I708" s="144">
        <v>27456</v>
      </c>
      <c r="J708" s="144"/>
      <c r="K708" s="144"/>
      <c r="L708" s="49"/>
      <c r="M708" s="49">
        <v>27456</v>
      </c>
      <c r="N708" s="408"/>
      <c r="O708" s="408"/>
      <c r="P708" s="408"/>
      <c r="Q708" s="408"/>
      <c r="R708" s="49">
        <v>27456</v>
      </c>
      <c r="S708" s="408"/>
      <c r="T708" s="408"/>
      <c r="U708" s="408"/>
      <c r="V708" s="408"/>
      <c r="W708" s="408"/>
      <c r="X708" s="408"/>
      <c r="Y708" s="408"/>
      <c r="Z708" s="408">
        <v>26792</v>
      </c>
      <c r="AA708" s="408">
        <f t="shared" si="82"/>
        <v>664</v>
      </c>
    </row>
    <row r="709" spans="1:27" s="362" customFormat="1" ht="30.75" customHeight="1">
      <c r="A709" s="512"/>
      <c r="B709" s="512"/>
      <c r="C709" s="135"/>
      <c r="D709" s="75" t="s">
        <v>599</v>
      </c>
      <c r="E709" s="142">
        <v>122.123</v>
      </c>
      <c r="F709" s="143">
        <f t="shared" si="90"/>
        <v>1</v>
      </c>
      <c r="G709" s="142">
        <v>122.123</v>
      </c>
      <c r="H709" s="418">
        <v>3210</v>
      </c>
      <c r="I709" s="144">
        <v>31680</v>
      </c>
      <c r="J709" s="144"/>
      <c r="K709" s="144"/>
      <c r="L709" s="49">
        <v>31680</v>
      </c>
      <c r="M709" s="144"/>
      <c r="N709" s="408"/>
      <c r="O709" s="408"/>
      <c r="P709" s="408"/>
      <c r="Q709" s="408"/>
      <c r="R709" s="408"/>
      <c r="S709" s="49">
        <v>31680</v>
      </c>
      <c r="T709" s="408"/>
      <c r="U709" s="408"/>
      <c r="V709" s="408"/>
      <c r="W709" s="408"/>
      <c r="X709" s="408"/>
      <c r="Y709" s="408"/>
      <c r="Z709" s="408">
        <f>3887.53+27124.8</f>
        <v>31012.33</v>
      </c>
      <c r="AA709" s="408">
        <f t="shared" si="82"/>
        <v>667.67</v>
      </c>
    </row>
    <row r="710" spans="1:27" s="362" customFormat="1" ht="31.5">
      <c r="A710" s="512"/>
      <c r="B710" s="512"/>
      <c r="C710" s="135"/>
      <c r="D710" s="75" t="s">
        <v>310</v>
      </c>
      <c r="E710" s="142">
        <v>31.68</v>
      </c>
      <c r="F710" s="143">
        <f t="shared" si="90"/>
        <v>1</v>
      </c>
      <c r="G710" s="142">
        <v>31.68</v>
      </c>
      <c r="H710" s="418">
        <v>3210</v>
      </c>
      <c r="I710" s="144">
        <v>32606</v>
      </c>
      <c r="J710" s="144"/>
      <c r="K710" s="144"/>
      <c r="L710" s="49">
        <v>32606</v>
      </c>
      <c r="M710" s="144"/>
      <c r="N710" s="408"/>
      <c r="O710" s="408"/>
      <c r="P710" s="408"/>
      <c r="Q710" s="408"/>
      <c r="R710" s="408"/>
      <c r="S710" s="49">
        <v>32606</v>
      </c>
      <c r="T710" s="408"/>
      <c r="U710" s="408"/>
      <c r="V710" s="408"/>
      <c r="W710" s="408"/>
      <c r="X710" s="408"/>
      <c r="Y710" s="408"/>
      <c r="Z710" s="408">
        <f>2800.24+29599.84</f>
        <v>32400.08</v>
      </c>
      <c r="AA710" s="408">
        <f t="shared" si="82"/>
        <v>205.92</v>
      </c>
    </row>
    <row r="711" spans="1:27" s="362" customFormat="1" ht="15.75">
      <c r="A711" s="512"/>
      <c r="B711" s="512"/>
      <c r="C711" s="135"/>
      <c r="D711" s="380" t="s">
        <v>418</v>
      </c>
      <c r="E711" s="142">
        <v>88.322</v>
      </c>
      <c r="F711" s="143">
        <f t="shared" si="90"/>
        <v>1</v>
      </c>
      <c r="G711" s="142">
        <v>88.322</v>
      </c>
      <c r="H711" s="418">
        <v>3210</v>
      </c>
      <c r="I711" s="144">
        <v>25994</v>
      </c>
      <c r="J711" s="144"/>
      <c r="K711" s="144"/>
      <c r="L711" s="49">
        <v>25994</v>
      </c>
      <c r="M711" s="144"/>
      <c r="N711" s="408"/>
      <c r="O711" s="408"/>
      <c r="P711" s="408"/>
      <c r="Q711" s="408"/>
      <c r="R711" s="408"/>
      <c r="S711" s="408"/>
      <c r="T711" s="408"/>
      <c r="U711" s="408"/>
      <c r="V711" s="408"/>
      <c r="W711" s="408"/>
      <c r="X711" s="408"/>
      <c r="Y711" s="49">
        <v>25994</v>
      </c>
      <c r="Z711" s="408"/>
      <c r="AA711" s="408">
        <f t="shared" si="82"/>
        <v>0</v>
      </c>
    </row>
    <row r="712" spans="1:27" s="362" customFormat="1" ht="15.75">
      <c r="A712" s="512"/>
      <c r="B712" s="512"/>
      <c r="C712" s="135"/>
      <c r="D712" s="75" t="s">
        <v>311</v>
      </c>
      <c r="E712" s="142">
        <v>100</v>
      </c>
      <c r="F712" s="143">
        <f t="shared" si="90"/>
        <v>1</v>
      </c>
      <c r="G712" s="142">
        <v>100</v>
      </c>
      <c r="H712" s="418">
        <v>3210</v>
      </c>
      <c r="I712" s="144">
        <v>10560</v>
      </c>
      <c r="J712" s="144"/>
      <c r="K712" s="144"/>
      <c r="L712" s="49">
        <v>10560</v>
      </c>
      <c r="M712" s="144"/>
      <c r="N712" s="408"/>
      <c r="O712" s="408"/>
      <c r="P712" s="408"/>
      <c r="Q712" s="408"/>
      <c r="R712" s="408"/>
      <c r="S712" s="408"/>
      <c r="T712" s="408"/>
      <c r="U712" s="408"/>
      <c r="V712" s="408"/>
      <c r="W712" s="408"/>
      <c r="X712" s="408"/>
      <c r="Y712" s="49">
        <v>10560</v>
      </c>
      <c r="Z712" s="408"/>
      <c r="AA712" s="408">
        <f t="shared" si="82"/>
        <v>0</v>
      </c>
    </row>
    <row r="713" spans="1:27" s="362" customFormat="1" ht="47.25">
      <c r="A713" s="512"/>
      <c r="B713" s="512"/>
      <c r="C713" s="135"/>
      <c r="D713" s="381" t="s">
        <v>1643</v>
      </c>
      <c r="E713" s="142">
        <v>32.606</v>
      </c>
      <c r="F713" s="143">
        <f t="shared" si="90"/>
        <v>1</v>
      </c>
      <c r="G713" s="142">
        <v>32.606</v>
      </c>
      <c r="H713" s="418">
        <v>3210</v>
      </c>
      <c r="I713" s="144">
        <v>178000</v>
      </c>
      <c r="J713" s="144"/>
      <c r="K713" s="144"/>
      <c r="L713" s="49"/>
      <c r="M713" s="49">
        <v>178000</v>
      </c>
      <c r="N713" s="408"/>
      <c r="O713" s="408"/>
      <c r="P713" s="408"/>
      <c r="Q713" s="408"/>
      <c r="R713" s="408"/>
      <c r="S713" s="408"/>
      <c r="T713" s="408"/>
      <c r="U713" s="408"/>
      <c r="V713" s="408"/>
      <c r="W713" s="408">
        <v>178000</v>
      </c>
      <c r="X713" s="408"/>
      <c r="Y713" s="408"/>
      <c r="Z713" s="408"/>
      <c r="AA713" s="408">
        <f t="shared" si="82"/>
        <v>0</v>
      </c>
    </row>
    <row r="714" spans="1:27" s="362" customFormat="1" ht="47.25">
      <c r="A714" s="512"/>
      <c r="B714" s="512"/>
      <c r="C714" s="135"/>
      <c r="D714" s="75" t="s">
        <v>1625</v>
      </c>
      <c r="E714" s="142">
        <v>120</v>
      </c>
      <c r="F714" s="143">
        <f t="shared" si="90"/>
        <v>1</v>
      </c>
      <c r="G714" s="142">
        <v>120</v>
      </c>
      <c r="H714" s="418">
        <v>3210</v>
      </c>
      <c r="I714" s="144">
        <v>28680</v>
      </c>
      <c r="J714" s="144"/>
      <c r="K714" s="144"/>
      <c r="L714" s="49"/>
      <c r="M714" s="49">
        <v>28680</v>
      </c>
      <c r="N714" s="408"/>
      <c r="O714" s="408"/>
      <c r="P714" s="408"/>
      <c r="Q714" s="408"/>
      <c r="R714" s="408"/>
      <c r="S714" s="408"/>
      <c r="T714" s="408"/>
      <c r="U714" s="408"/>
      <c r="V714" s="408"/>
      <c r="W714" s="408"/>
      <c r="X714" s="408">
        <v>28680</v>
      </c>
      <c r="Y714" s="408"/>
      <c r="Z714" s="408"/>
      <c r="AA714" s="408">
        <f t="shared" si="82"/>
        <v>0</v>
      </c>
    </row>
    <row r="715" spans="1:27" s="362" customFormat="1" ht="47.25">
      <c r="A715" s="512"/>
      <c r="B715" s="512"/>
      <c r="C715" s="135"/>
      <c r="D715" s="75" t="s">
        <v>429</v>
      </c>
      <c r="E715" s="142">
        <v>72.87</v>
      </c>
      <c r="F715" s="143">
        <f t="shared" si="90"/>
        <v>1</v>
      </c>
      <c r="G715" s="142">
        <v>72.87</v>
      </c>
      <c r="H715" s="418">
        <v>3210</v>
      </c>
      <c r="I715" s="144">
        <v>152684</v>
      </c>
      <c r="J715" s="144"/>
      <c r="K715" s="144"/>
      <c r="L715" s="49">
        <v>152684</v>
      </c>
      <c r="M715" s="144"/>
      <c r="N715" s="408"/>
      <c r="O715" s="408"/>
      <c r="P715" s="408"/>
      <c r="Q715" s="408"/>
      <c r="R715" s="408"/>
      <c r="S715" s="408"/>
      <c r="T715" s="408"/>
      <c r="U715" s="408"/>
      <c r="V715" s="408"/>
      <c r="W715" s="408">
        <v>152684</v>
      </c>
      <c r="X715" s="408"/>
      <c r="Y715" s="408"/>
      <c r="Z715" s="408"/>
      <c r="AA715" s="408">
        <f t="shared" si="82"/>
        <v>0</v>
      </c>
    </row>
    <row r="716" spans="1:27" s="362" customFormat="1" ht="31.5">
      <c r="A716" s="512"/>
      <c r="B716" s="512"/>
      <c r="C716" s="135"/>
      <c r="D716" s="75" t="s">
        <v>1248</v>
      </c>
      <c r="E716" s="142">
        <v>19.44</v>
      </c>
      <c r="F716" s="143">
        <f t="shared" si="90"/>
        <v>1</v>
      </c>
      <c r="G716" s="142">
        <v>19.44</v>
      </c>
      <c r="H716" s="418">
        <v>3210</v>
      </c>
      <c r="I716" s="144">
        <v>39656</v>
      </c>
      <c r="J716" s="144"/>
      <c r="K716" s="144"/>
      <c r="L716" s="49">
        <v>39656</v>
      </c>
      <c r="M716" s="144"/>
      <c r="N716" s="408"/>
      <c r="O716" s="408"/>
      <c r="P716" s="408"/>
      <c r="Q716" s="408"/>
      <c r="R716" s="408"/>
      <c r="S716" s="408"/>
      <c r="T716" s="408"/>
      <c r="U716" s="408"/>
      <c r="V716" s="408"/>
      <c r="W716" s="408"/>
      <c r="X716" s="408"/>
      <c r="Y716" s="408">
        <v>39656</v>
      </c>
      <c r="Z716" s="408"/>
      <c r="AA716" s="408">
        <f t="shared" si="82"/>
        <v>0</v>
      </c>
    </row>
    <row r="717" spans="1:27" s="362" customFormat="1" ht="15.75">
      <c r="A717" s="512"/>
      <c r="B717" s="512"/>
      <c r="C717" s="135"/>
      <c r="D717" s="75" t="s">
        <v>32</v>
      </c>
      <c r="E717" s="142">
        <v>27.456</v>
      </c>
      <c r="F717" s="143">
        <f t="shared" si="90"/>
        <v>1</v>
      </c>
      <c r="G717" s="142">
        <v>27.456</v>
      </c>
      <c r="H717" s="418">
        <v>3210</v>
      </c>
      <c r="I717" s="144">
        <v>38138</v>
      </c>
      <c r="J717" s="144"/>
      <c r="K717" s="144"/>
      <c r="L717" s="49">
        <v>38138</v>
      </c>
      <c r="M717" s="144"/>
      <c r="N717" s="408"/>
      <c r="O717" s="408"/>
      <c r="P717" s="408"/>
      <c r="Q717" s="408"/>
      <c r="R717" s="408"/>
      <c r="S717" s="408"/>
      <c r="T717" s="408"/>
      <c r="U717" s="408"/>
      <c r="V717" s="408"/>
      <c r="W717" s="408"/>
      <c r="X717" s="408">
        <v>38138</v>
      </c>
      <c r="Y717" s="408"/>
      <c r="Z717" s="408"/>
      <c r="AA717" s="408">
        <f t="shared" si="82"/>
        <v>0</v>
      </c>
    </row>
    <row r="718" spans="1:27" s="362" customFormat="1" ht="31.5">
      <c r="A718" s="512"/>
      <c r="B718" s="512"/>
      <c r="C718" s="135"/>
      <c r="D718" s="75" t="s">
        <v>312</v>
      </c>
      <c r="E718" s="142">
        <v>100</v>
      </c>
      <c r="F718" s="143">
        <f t="shared" si="90"/>
        <v>1</v>
      </c>
      <c r="G718" s="142">
        <v>100</v>
      </c>
      <c r="H718" s="418">
        <v>3210</v>
      </c>
      <c r="I718" s="144">
        <v>50000</v>
      </c>
      <c r="J718" s="144"/>
      <c r="K718" s="144"/>
      <c r="L718" s="49">
        <v>50000</v>
      </c>
      <c r="M718" s="144"/>
      <c r="N718" s="408"/>
      <c r="O718" s="408"/>
      <c r="P718" s="408"/>
      <c r="Q718" s="408"/>
      <c r="R718" s="408"/>
      <c r="S718" s="408"/>
      <c r="T718" s="408"/>
      <c r="U718" s="408"/>
      <c r="V718" s="408">
        <v>50000</v>
      </c>
      <c r="W718" s="408"/>
      <c r="X718" s="408"/>
      <c r="Y718" s="408"/>
      <c r="Z718" s="408"/>
      <c r="AA718" s="408">
        <f t="shared" si="82"/>
        <v>0</v>
      </c>
    </row>
    <row r="719" spans="1:27" s="362" customFormat="1" ht="31.5">
      <c r="A719" s="512"/>
      <c r="B719" s="512"/>
      <c r="C719" s="135"/>
      <c r="D719" s="75" t="s">
        <v>713</v>
      </c>
      <c r="E719" s="142"/>
      <c r="F719" s="143"/>
      <c r="G719" s="142"/>
      <c r="H719" s="418">
        <v>3210</v>
      </c>
      <c r="I719" s="144">
        <v>28000</v>
      </c>
      <c r="J719" s="144"/>
      <c r="K719" s="144"/>
      <c r="L719" s="49">
        <v>28000</v>
      </c>
      <c r="M719" s="144"/>
      <c r="N719" s="408"/>
      <c r="O719" s="408"/>
      <c r="P719" s="408"/>
      <c r="Q719" s="408"/>
      <c r="R719" s="408"/>
      <c r="S719" s="408"/>
      <c r="T719" s="408"/>
      <c r="U719" s="408"/>
      <c r="V719" s="408">
        <v>28000</v>
      </c>
      <c r="W719" s="408"/>
      <c r="X719" s="408"/>
      <c r="Y719" s="408"/>
      <c r="Z719" s="408"/>
      <c r="AA719" s="408">
        <f t="shared" si="82"/>
        <v>0</v>
      </c>
    </row>
    <row r="720" spans="1:27" s="362" customFormat="1" ht="31.5">
      <c r="A720" s="512"/>
      <c r="B720" s="512"/>
      <c r="C720" s="135"/>
      <c r="D720" s="75" t="s">
        <v>1115</v>
      </c>
      <c r="E720" s="142"/>
      <c r="F720" s="143"/>
      <c r="G720" s="142"/>
      <c r="H720" s="418">
        <v>3210</v>
      </c>
      <c r="I720" s="144">
        <v>80000</v>
      </c>
      <c r="J720" s="144"/>
      <c r="K720" s="144"/>
      <c r="L720" s="49">
        <v>80000</v>
      </c>
      <c r="M720" s="144"/>
      <c r="N720" s="408"/>
      <c r="O720" s="408"/>
      <c r="P720" s="408"/>
      <c r="Q720" s="408"/>
      <c r="R720" s="408"/>
      <c r="S720" s="408">
        <v>80000</v>
      </c>
      <c r="T720" s="408"/>
      <c r="U720" s="408"/>
      <c r="V720" s="408"/>
      <c r="W720" s="408"/>
      <c r="X720" s="408"/>
      <c r="Y720" s="408"/>
      <c r="Z720" s="408">
        <f>3624.02+73121.87</f>
        <v>76745.89</v>
      </c>
      <c r="AA720" s="408">
        <f t="shared" si="82"/>
        <v>3254.11</v>
      </c>
    </row>
    <row r="721" spans="1:27" s="362" customFormat="1" ht="31.5">
      <c r="A721" s="512"/>
      <c r="B721" s="512"/>
      <c r="C721" s="135"/>
      <c r="D721" s="379" t="s">
        <v>1116</v>
      </c>
      <c r="E721" s="142">
        <v>296.733</v>
      </c>
      <c r="F721" s="143">
        <f>100%-((E721-G721)/E721)</f>
        <v>1</v>
      </c>
      <c r="G721" s="142">
        <v>296.733</v>
      </c>
      <c r="H721" s="418">
        <v>3210</v>
      </c>
      <c r="I721" s="144">
        <v>30000</v>
      </c>
      <c r="J721" s="144"/>
      <c r="K721" s="144"/>
      <c r="L721" s="49">
        <v>30000</v>
      </c>
      <c r="M721" s="144"/>
      <c r="N721" s="408"/>
      <c r="O721" s="408"/>
      <c r="P721" s="408"/>
      <c r="Q721" s="408"/>
      <c r="R721" s="408"/>
      <c r="S721" s="408"/>
      <c r="T721" s="408"/>
      <c r="U721" s="408"/>
      <c r="V721" s="408"/>
      <c r="W721" s="408"/>
      <c r="X721" s="408"/>
      <c r="Y721" s="408">
        <v>30000</v>
      </c>
      <c r="Z721" s="408"/>
      <c r="AA721" s="408">
        <f t="shared" si="82"/>
        <v>0</v>
      </c>
    </row>
    <row r="722" spans="1:27" s="362" customFormat="1" ht="30.75" customHeight="1">
      <c r="A722" s="512"/>
      <c r="B722" s="512"/>
      <c r="C722" s="135"/>
      <c r="D722" s="75" t="s">
        <v>677</v>
      </c>
      <c r="E722" s="142">
        <v>103.74375</v>
      </c>
      <c r="F722" s="143">
        <f>100%-((E722-G722)/E722)</f>
        <v>1</v>
      </c>
      <c r="G722" s="142">
        <v>103.74375</v>
      </c>
      <c r="H722" s="418">
        <v>3210</v>
      </c>
      <c r="I722" s="144">
        <v>111122</v>
      </c>
      <c r="J722" s="144"/>
      <c r="K722" s="144"/>
      <c r="L722" s="49">
        <v>111122</v>
      </c>
      <c r="M722" s="144"/>
      <c r="N722" s="408"/>
      <c r="O722" s="408"/>
      <c r="P722" s="408"/>
      <c r="Q722" s="408"/>
      <c r="R722" s="408"/>
      <c r="S722" s="408">
        <v>111122</v>
      </c>
      <c r="T722" s="408"/>
      <c r="U722" s="408"/>
      <c r="V722" s="408"/>
      <c r="W722" s="408"/>
      <c r="X722" s="408"/>
      <c r="Y722" s="408"/>
      <c r="Z722" s="408">
        <v>108815.87</v>
      </c>
      <c r="AA722" s="408">
        <f t="shared" si="82"/>
        <v>2306.13</v>
      </c>
    </row>
    <row r="723" spans="1:27" s="362" customFormat="1" ht="31.5">
      <c r="A723" s="512"/>
      <c r="B723" s="512"/>
      <c r="C723" s="135"/>
      <c r="D723" s="75" t="s">
        <v>678</v>
      </c>
      <c r="E723" s="142"/>
      <c r="F723" s="143"/>
      <c r="G723" s="142"/>
      <c r="H723" s="418">
        <v>3210</v>
      </c>
      <c r="I723" s="144">
        <v>120000</v>
      </c>
      <c r="J723" s="144"/>
      <c r="K723" s="144"/>
      <c r="L723" s="49">
        <v>120000</v>
      </c>
      <c r="M723" s="144"/>
      <c r="N723" s="408"/>
      <c r="O723" s="408"/>
      <c r="P723" s="408"/>
      <c r="Q723" s="408"/>
      <c r="R723" s="408"/>
      <c r="S723" s="408"/>
      <c r="T723" s="408">
        <v>120000</v>
      </c>
      <c r="U723" s="408"/>
      <c r="V723" s="408"/>
      <c r="W723" s="408"/>
      <c r="X723" s="408"/>
      <c r="Y723" s="408"/>
      <c r="Z723" s="408"/>
      <c r="AA723" s="408">
        <f t="shared" si="82"/>
        <v>120000</v>
      </c>
    </row>
    <row r="724" spans="1:27" s="362" customFormat="1" ht="31.5">
      <c r="A724" s="512"/>
      <c r="B724" s="512"/>
      <c r="C724" s="135"/>
      <c r="D724" s="75" t="s">
        <v>1022</v>
      </c>
      <c r="E724" s="142"/>
      <c r="F724" s="143"/>
      <c r="G724" s="142"/>
      <c r="H724" s="418">
        <v>3210</v>
      </c>
      <c r="I724" s="144">
        <v>200000</v>
      </c>
      <c r="J724" s="144"/>
      <c r="K724" s="144"/>
      <c r="L724" s="49">
        <v>200000</v>
      </c>
      <c r="M724" s="144"/>
      <c r="N724" s="408"/>
      <c r="O724" s="408"/>
      <c r="P724" s="408"/>
      <c r="Q724" s="408"/>
      <c r="R724" s="408">
        <v>200000</v>
      </c>
      <c r="S724" s="408"/>
      <c r="T724" s="408"/>
      <c r="U724" s="408"/>
      <c r="V724" s="408"/>
      <c r="W724" s="408"/>
      <c r="X724" s="408"/>
      <c r="Y724" s="408"/>
      <c r="Z724" s="408">
        <v>199934.33</v>
      </c>
      <c r="AA724" s="408">
        <f t="shared" si="82"/>
        <v>65.67</v>
      </c>
    </row>
    <row r="725" spans="1:27" s="362" customFormat="1" ht="31.5">
      <c r="A725" s="512"/>
      <c r="B725" s="512"/>
      <c r="C725" s="135"/>
      <c r="D725" s="75" t="s">
        <v>679</v>
      </c>
      <c r="E725" s="142"/>
      <c r="F725" s="143"/>
      <c r="G725" s="142"/>
      <c r="H725" s="418">
        <v>3210</v>
      </c>
      <c r="I725" s="144">
        <v>50000</v>
      </c>
      <c r="J725" s="144"/>
      <c r="K725" s="144"/>
      <c r="L725" s="49">
        <v>50000</v>
      </c>
      <c r="M725" s="144"/>
      <c r="N725" s="408"/>
      <c r="O725" s="408"/>
      <c r="P725" s="408"/>
      <c r="Q725" s="408"/>
      <c r="R725" s="408"/>
      <c r="S725" s="408"/>
      <c r="T725" s="408">
        <v>50000</v>
      </c>
      <c r="U725" s="408"/>
      <c r="V725" s="408"/>
      <c r="W725" s="408"/>
      <c r="X725" s="408"/>
      <c r="Y725" s="408"/>
      <c r="Z725" s="408"/>
      <c r="AA725" s="408">
        <f aca="true" t="shared" si="91" ref="AA725:AA790">N725+O725+P725+Q725+R725+S725+T725+U725-Z725</f>
        <v>50000</v>
      </c>
    </row>
    <row r="726" spans="1:27" s="362" customFormat="1" ht="31.5">
      <c r="A726" s="512"/>
      <c r="B726" s="512"/>
      <c r="C726" s="135"/>
      <c r="D726" s="75" t="s">
        <v>320</v>
      </c>
      <c r="E726" s="142"/>
      <c r="F726" s="143"/>
      <c r="G726" s="142"/>
      <c r="H726" s="418">
        <v>3210</v>
      </c>
      <c r="I726" s="144">
        <v>1000000</v>
      </c>
      <c r="J726" s="144"/>
      <c r="K726" s="144"/>
      <c r="L726" s="49">
        <v>1000000</v>
      </c>
      <c r="M726" s="144"/>
      <c r="N726" s="408"/>
      <c r="O726" s="408"/>
      <c r="P726" s="408"/>
      <c r="Q726" s="408"/>
      <c r="R726" s="408"/>
      <c r="S726" s="408">
        <v>1000000</v>
      </c>
      <c r="T726" s="408"/>
      <c r="U726" s="408">
        <f>1000000-1000000</f>
        <v>0</v>
      </c>
      <c r="V726" s="408"/>
      <c r="W726" s="408">
        <f>1000000-1000000</f>
        <v>0</v>
      </c>
      <c r="X726" s="408"/>
      <c r="Y726" s="408"/>
      <c r="Z726" s="408">
        <f>990812.12-990812.12+990812.12</f>
        <v>990812.12</v>
      </c>
      <c r="AA726" s="408">
        <f t="shared" si="91"/>
        <v>9187.88</v>
      </c>
    </row>
    <row r="727" spans="1:27" s="362" customFormat="1" ht="15.75">
      <c r="A727" s="512"/>
      <c r="B727" s="512"/>
      <c r="C727" s="135"/>
      <c r="D727" s="75" t="s">
        <v>680</v>
      </c>
      <c r="E727" s="142"/>
      <c r="F727" s="143"/>
      <c r="G727" s="142"/>
      <c r="H727" s="418">
        <v>3210</v>
      </c>
      <c r="I727" s="144">
        <v>134000</v>
      </c>
      <c r="J727" s="144"/>
      <c r="K727" s="144"/>
      <c r="L727" s="49">
        <v>134000</v>
      </c>
      <c r="M727" s="144"/>
      <c r="N727" s="408"/>
      <c r="O727" s="408"/>
      <c r="P727" s="408"/>
      <c r="Q727" s="408"/>
      <c r="R727" s="408"/>
      <c r="S727" s="408"/>
      <c r="T727" s="408"/>
      <c r="U727" s="408"/>
      <c r="V727" s="408">
        <v>134000</v>
      </c>
      <c r="W727" s="408"/>
      <c r="X727" s="408"/>
      <c r="Y727" s="408"/>
      <c r="Z727" s="408"/>
      <c r="AA727" s="408">
        <f t="shared" si="91"/>
        <v>0</v>
      </c>
    </row>
    <row r="728" spans="1:27" s="362" customFormat="1" ht="31.5">
      <c r="A728" s="512"/>
      <c r="B728" s="512"/>
      <c r="C728" s="135"/>
      <c r="D728" s="75" t="s">
        <v>235</v>
      </c>
      <c r="E728" s="142"/>
      <c r="F728" s="143"/>
      <c r="G728" s="142"/>
      <c r="H728" s="418">
        <v>3210</v>
      </c>
      <c r="I728" s="144">
        <v>407000</v>
      </c>
      <c r="J728" s="144"/>
      <c r="K728" s="144"/>
      <c r="L728" s="49">
        <v>407000</v>
      </c>
      <c r="M728" s="144"/>
      <c r="N728" s="408"/>
      <c r="O728" s="408"/>
      <c r="P728" s="408"/>
      <c r="Q728" s="408"/>
      <c r="R728" s="408"/>
      <c r="S728" s="408"/>
      <c r="T728" s="408"/>
      <c r="U728" s="408">
        <v>407000</v>
      </c>
      <c r="V728" s="408"/>
      <c r="W728" s="408"/>
      <c r="X728" s="408"/>
      <c r="Y728" s="408"/>
      <c r="Z728" s="408"/>
      <c r="AA728" s="408">
        <f t="shared" si="91"/>
        <v>407000</v>
      </c>
    </row>
    <row r="729" spans="1:27" s="362" customFormat="1" ht="31.5">
      <c r="A729" s="512"/>
      <c r="B729" s="512"/>
      <c r="C729" s="135"/>
      <c r="D729" s="379" t="s">
        <v>1442</v>
      </c>
      <c r="E729" s="142"/>
      <c r="F729" s="143"/>
      <c r="G729" s="142"/>
      <c r="H729" s="418">
        <v>3210</v>
      </c>
      <c r="I729" s="144">
        <v>123500</v>
      </c>
      <c r="J729" s="144"/>
      <c r="K729" s="144"/>
      <c r="L729" s="49">
        <v>123500</v>
      </c>
      <c r="M729" s="144"/>
      <c r="N729" s="408"/>
      <c r="O729" s="408"/>
      <c r="P729" s="408"/>
      <c r="Q729" s="408"/>
      <c r="R729" s="408"/>
      <c r="S729" s="408"/>
      <c r="T729" s="408">
        <v>123500</v>
      </c>
      <c r="U729" s="408"/>
      <c r="V729" s="408"/>
      <c r="W729" s="408"/>
      <c r="X729" s="408"/>
      <c r="Y729" s="408"/>
      <c r="Z729" s="408"/>
      <c r="AA729" s="408">
        <f t="shared" si="91"/>
        <v>123500</v>
      </c>
    </row>
    <row r="730" spans="1:27" s="362" customFormat="1" ht="31.5">
      <c r="A730" s="512"/>
      <c r="B730" s="512"/>
      <c r="C730" s="135"/>
      <c r="D730" s="75" t="s">
        <v>1491</v>
      </c>
      <c r="E730" s="142"/>
      <c r="F730" s="143"/>
      <c r="G730" s="142"/>
      <c r="H730" s="418">
        <v>3210</v>
      </c>
      <c r="I730" s="144">
        <v>108978</v>
      </c>
      <c r="J730" s="144"/>
      <c r="K730" s="144"/>
      <c r="L730" s="49">
        <v>108978</v>
      </c>
      <c r="M730" s="144"/>
      <c r="N730" s="408"/>
      <c r="O730" s="408"/>
      <c r="P730" s="408"/>
      <c r="Q730" s="408"/>
      <c r="R730" s="408"/>
      <c r="S730" s="408"/>
      <c r="T730" s="408"/>
      <c r="U730" s="408"/>
      <c r="V730" s="408"/>
      <c r="W730" s="408">
        <v>108978</v>
      </c>
      <c r="X730" s="408"/>
      <c r="Y730" s="408"/>
      <c r="Z730" s="408"/>
      <c r="AA730" s="408">
        <f t="shared" si="91"/>
        <v>0</v>
      </c>
    </row>
    <row r="731" spans="1:27" s="362" customFormat="1" ht="31.5">
      <c r="A731" s="512"/>
      <c r="B731" s="512"/>
      <c r="C731" s="135"/>
      <c r="D731" s="75" t="s">
        <v>1492</v>
      </c>
      <c r="E731" s="142"/>
      <c r="F731" s="143"/>
      <c r="G731" s="142"/>
      <c r="H731" s="418">
        <v>3210</v>
      </c>
      <c r="I731" s="144">
        <v>50000</v>
      </c>
      <c r="J731" s="144"/>
      <c r="K731" s="144"/>
      <c r="L731" s="49">
        <v>50000</v>
      </c>
      <c r="M731" s="144"/>
      <c r="N731" s="408"/>
      <c r="O731" s="408"/>
      <c r="P731" s="408"/>
      <c r="Q731" s="408"/>
      <c r="R731" s="408"/>
      <c r="S731" s="408"/>
      <c r="T731" s="408"/>
      <c r="U731" s="408">
        <v>50000</v>
      </c>
      <c r="V731" s="408"/>
      <c r="W731" s="408"/>
      <c r="X731" s="408"/>
      <c r="Y731" s="408"/>
      <c r="Z731" s="408"/>
      <c r="AA731" s="408">
        <f t="shared" si="91"/>
        <v>50000</v>
      </c>
    </row>
    <row r="732" spans="1:27" s="30" customFormat="1" ht="15.75">
      <c r="A732" s="512"/>
      <c r="B732" s="512"/>
      <c r="C732" s="266"/>
      <c r="D732" s="225" t="s">
        <v>733</v>
      </c>
      <c r="E732" s="142"/>
      <c r="F732" s="143"/>
      <c r="G732" s="142"/>
      <c r="H732" s="418"/>
      <c r="I732" s="169">
        <f>SUM(I733:I734)</f>
        <v>283700</v>
      </c>
      <c r="J732" s="169">
        <f>SUM(J733:J734)</f>
        <v>0</v>
      </c>
      <c r="K732" s="169">
        <f>SUM(K733:K734)</f>
        <v>0</v>
      </c>
      <c r="L732" s="169">
        <f>SUM(L733:L734)</f>
        <v>283700</v>
      </c>
      <c r="M732" s="169">
        <f>SUM(M733:M734)</f>
        <v>0</v>
      </c>
      <c r="N732" s="169">
        <f aca="true" t="shared" si="92" ref="N732:Z732">SUM(N733:N734)</f>
        <v>0</v>
      </c>
      <c r="O732" s="169">
        <f t="shared" si="92"/>
        <v>0</v>
      </c>
      <c r="P732" s="169">
        <f t="shared" si="92"/>
        <v>0</v>
      </c>
      <c r="Q732" s="169">
        <f t="shared" si="92"/>
        <v>0</v>
      </c>
      <c r="R732" s="169">
        <f t="shared" si="92"/>
        <v>10000</v>
      </c>
      <c r="S732" s="169">
        <f t="shared" si="92"/>
        <v>70000</v>
      </c>
      <c r="T732" s="169">
        <f t="shared" si="92"/>
        <v>53700</v>
      </c>
      <c r="U732" s="169">
        <f t="shared" si="92"/>
        <v>10000</v>
      </c>
      <c r="V732" s="169">
        <f t="shared" si="92"/>
        <v>100000</v>
      </c>
      <c r="W732" s="169">
        <f t="shared" si="92"/>
        <v>40000</v>
      </c>
      <c r="X732" s="169">
        <f t="shared" si="92"/>
        <v>0</v>
      </c>
      <c r="Y732" s="169">
        <f t="shared" si="92"/>
        <v>0</v>
      </c>
      <c r="Z732" s="169">
        <f t="shared" si="92"/>
        <v>0</v>
      </c>
      <c r="AA732" s="408">
        <f t="shared" si="91"/>
        <v>143700</v>
      </c>
    </row>
    <row r="733" spans="1:27" s="30" customFormat="1" ht="15.75">
      <c r="A733" s="512"/>
      <c r="B733" s="512"/>
      <c r="C733" s="266" t="s">
        <v>734</v>
      </c>
      <c r="D733" s="276" t="s">
        <v>738</v>
      </c>
      <c r="E733" s="142">
        <v>523.75048</v>
      </c>
      <c r="F733" s="143">
        <f>100%-((E733-G733)/E733)</f>
        <v>0.18</v>
      </c>
      <c r="G733" s="142">
        <v>94.526</v>
      </c>
      <c r="H733" s="418">
        <v>3210</v>
      </c>
      <c r="I733" s="144">
        <v>133700</v>
      </c>
      <c r="J733" s="144"/>
      <c r="K733" s="169"/>
      <c r="L733" s="144">
        <v>133700</v>
      </c>
      <c r="M733" s="169"/>
      <c r="N733" s="408"/>
      <c r="O733" s="440"/>
      <c r="P733" s="440"/>
      <c r="Q733" s="440"/>
      <c r="R733" s="440">
        <v>10000</v>
      </c>
      <c r="S733" s="440">
        <v>70000</v>
      </c>
      <c r="T733" s="440">
        <v>53700</v>
      </c>
      <c r="U733" s="440"/>
      <c r="V733" s="440"/>
      <c r="W733" s="440"/>
      <c r="X733" s="440"/>
      <c r="Y733" s="440"/>
      <c r="Z733" s="440"/>
      <c r="AA733" s="408">
        <f t="shared" si="91"/>
        <v>133700</v>
      </c>
    </row>
    <row r="734" spans="1:27" s="30" customFormat="1" ht="47.25">
      <c r="A734" s="512"/>
      <c r="B734" s="512"/>
      <c r="C734" s="266" t="s">
        <v>737</v>
      </c>
      <c r="D734" s="276" t="s">
        <v>700</v>
      </c>
      <c r="E734" s="142">
        <v>200</v>
      </c>
      <c r="F734" s="143">
        <f>100%-((E734-G734)/E734)</f>
        <v>1</v>
      </c>
      <c r="G734" s="142">
        <v>200</v>
      </c>
      <c r="H734" s="418">
        <v>3210</v>
      </c>
      <c r="I734" s="144">
        <v>150000</v>
      </c>
      <c r="J734" s="144"/>
      <c r="K734" s="169"/>
      <c r="L734" s="144">
        <v>150000</v>
      </c>
      <c r="M734" s="169"/>
      <c r="N734" s="408"/>
      <c r="O734" s="440"/>
      <c r="P734" s="440"/>
      <c r="Q734" s="440"/>
      <c r="R734" s="440"/>
      <c r="S734" s="440"/>
      <c r="T734" s="440"/>
      <c r="U734" s="440">
        <v>10000</v>
      </c>
      <c r="V734" s="440">
        <v>100000</v>
      </c>
      <c r="W734" s="440">
        <v>40000</v>
      </c>
      <c r="X734" s="440"/>
      <c r="Y734" s="440"/>
      <c r="Z734" s="440"/>
      <c r="AA734" s="408">
        <f t="shared" si="91"/>
        <v>10000</v>
      </c>
    </row>
    <row r="735" spans="1:27" s="30" customFormat="1" ht="22.5" customHeight="1">
      <c r="A735" s="512"/>
      <c r="B735" s="571"/>
      <c r="C735" s="407"/>
      <c r="D735" s="283" t="s">
        <v>739</v>
      </c>
      <c r="E735" s="142"/>
      <c r="F735" s="143"/>
      <c r="G735" s="142"/>
      <c r="H735" s="418"/>
      <c r="I735" s="169">
        <f>SUM(I736:I736)</f>
        <v>145867</v>
      </c>
      <c r="J735" s="169">
        <f>SUM(J736:J736)</f>
        <v>0</v>
      </c>
      <c r="K735" s="169">
        <f>SUM(K736:K736)</f>
        <v>0</v>
      </c>
      <c r="L735" s="169">
        <f>SUM(L736:L736)</f>
        <v>145867</v>
      </c>
      <c r="M735" s="169">
        <f>SUM(M736:M736)</f>
        <v>0</v>
      </c>
      <c r="N735" s="169">
        <f aca="true" t="shared" si="93" ref="N735:Z735">SUM(N736:N736)</f>
        <v>0</v>
      </c>
      <c r="O735" s="169">
        <f t="shared" si="93"/>
        <v>0</v>
      </c>
      <c r="P735" s="169">
        <f t="shared" si="93"/>
        <v>0</v>
      </c>
      <c r="Q735" s="169">
        <f t="shared" si="93"/>
        <v>0</v>
      </c>
      <c r="R735" s="169">
        <f t="shared" si="93"/>
        <v>12000</v>
      </c>
      <c r="S735" s="169">
        <f t="shared" si="93"/>
        <v>72000</v>
      </c>
      <c r="T735" s="169">
        <f t="shared" si="93"/>
        <v>61867</v>
      </c>
      <c r="U735" s="169">
        <f t="shared" si="93"/>
        <v>0</v>
      </c>
      <c r="V735" s="169">
        <f t="shared" si="93"/>
        <v>0</v>
      </c>
      <c r="W735" s="169">
        <f t="shared" si="93"/>
        <v>0</v>
      </c>
      <c r="X735" s="169">
        <f t="shared" si="93"/>
        <v>0</v>
      </c>
      <c r="Y735" s="169">
        <f t="shared" si="93"/>
        <v>0</v>
      </c>
      <c r="Z735" s="169">
        <f t="shared" si="93"/>
        <v>8796.32</v>
      </c>
      <c r="AA735" s="408">
        <f t="shared" si="91"/>
        <v>137070.68</v>
      </c>
    </row>
    <row r="736" spans="1:27" s="30" customFormat="1" ht="21" customHeight="1">
      <c r="A736" s="512"/>
      <c r="B736" s="571"/>
      <c r="C736" s="266" t="s">
        <v>737</v>
      </c>
      <c r="D736" s="285" t="s">
        <v>741</v>
      </c>
      <c r="E736" s="142">
        <v>130</v>
      </c>
      <c r="F736" s="143">
        <f>100%-((E736-G736)/E736)</f>
        <v>1</v>
      </c>
      <c r="G736" s="142">
        <v>130</v>
      </c>
      <c r="H736" s="418">
        <v>3210</v>
      </c>
      <c r="I736" s="144">
        <v>145867</v>
      </c>
      <c r="J736" s="286"/>
      <c r="K736" s="169"/>
      <c r="L736" s="144">
        <v>145867</v>
      </c>
      <c r="M736" s="169"/>
      <c r="N736" s="408"/>
      <c r="O736" s="440"/>
      <c r="P736" s="440"/>
      <c r="Q736" s="440"/>
      <c r="R736" s="440">
        <v>12000</v>
      </c>
      <c r="S736" s="440">
        <v>72000</v>
      </c>
      <c r="T736" s="440">
        <v>61867</v>
      </c>
      <c r="U736" s="440"/>
      <c r="V736" s="440"/>
      <c r="W736" s="440"/>
      <c r="X736" s="440"/>
      <c r="Y736" s="440"/>
      <c r="Z736" s="440">
        <v>8796.32</v>
      </c>
      <c r="AA736" s="408">
        <f t="shared" si="91"/>
        <v>137070.68</v>
      </c>
    </row>
    <row r="737" spans="1:27" s="30" customFormat="1" ht="19.5" customHeight="1">
      <c r="A737" s="512"/>
      <c r="B737" s="512"/>
      <c r="C737" s="36"/>
      <c r="D737" s="272" t="s">
        <v>743</v>
      </c>
      <c r="E737" s="142"/>
      <c r="F737" s="143"/>
      <c r="G737" s="142"/>
      <c r="H737" s="418"/>
      <c r="I737" s="169">
        <f>SUM(I738:I738)</f>
        <v>373529</v>
      </c>
      <c r="J737" s="169">
        <f>SUM(J738:J738)</f>
        <v>0</v>
      </c>
      <c r="K737" s="169">
        <f>SUM(K738:K738)</f>
        <v>0</v>
      </c>
      <c r="L737" s="169">
        <f>SUM(L738:L738)</f>
        <v>373529</v>
      </c>
      <c r="M737" s="169">
        <f>SUM(M738:M738)</f>
        <v>0</v>
      </c>
      <c r="N737" s="169">
        <f aca="true" t="shared" si="94" ref="N737:Z737">SUM(N738:N738)</f>
        <v>0</v>
      </c>
      <c r="O737" s="169">
        <f t="shared" si="94"/>
        <v>0</v>
      </c>
      <c r="P737" s="169">
        <f t="shared" si="94"/>
        <v>0</v>
      </c>
      <c r="Q737" s="169">
        <f t="shared" si="94"/>
        <v>0</v>
      </c>
      <c r="R737" s="169">
        <f t="shared" si="94"/>
        <v>21000</v>
      </c>
      <c r="S737" s="169">
        <f t="shared" si="94"/>
        <v>209000</v>
      </c>
      <c r="T737" s="169">
        <f t="shared" si="94"/>
        <v>143529</v>
      </c>
      <c r="U737" s="169">
        <f t="shared" si="94"/>
        <v>0</v>
      </c>
      <c r="V737" s="169">
        <f t="shared" si="94"/>
        <v>0</v>
      </c>
      <c r="W737" s="169">
        <f t="shared" si="94"/>
        <v>0</v>
      </c>
      <c r="X737" s="169">
        <f t="shared" si="94"/>
        <v>0</v>
      </c>
      <c r="Y737" s="169">
        <f t="shared" si="94"/>
        <v>0</v>
      </c>
      <c r="Z737" s="169">
        <f t="shared" si="94"/>
        <v>14672.29</v>
      </c>
      <c r="AA737" s="408">
        <f t="shared" si="91"/>
        <v>358856.71</v>
      </c>
    </row>
    <row r="738" spans="1:27" s="30" customFormat="1" ht="20.25" customHeight="1">
      <c r="A738" s="512"/>
      <c r="B738" s="512"/>
      <c r="C738" s="266" t="s">
        <v>737</v>
      </c>
      <c r="D738" s="285" t="s">
        <v>741</v>
      </c>
      <c r="E738" s="142">
        <v>300</v>
      </c>
      <c r="F738" s="143">
        <f>100%-((E738-G738)/E738)</f>
        <v>1</v>
      </c>
      <c r="G738" s="142">
        <v>300</v>
      </c>
      <c r="H738" s="418">
        <v>3210</v>
      </c>
      <c r="I738" s="144">
        <v>373529</v>
      </c>
      <c r="J738" s="144"/>
      <c r="K738" s="144"/>
      <c r="L738" s="144">
        <v>373529</v>
      </c>
      <c r="M738" s="169"/>
      <c r="N738" s="408"/>
      <c r="O738" s="440"/>
      <c r="P738" s="440"/>
      <c r="Q738" s="440"/>
      <c r="R738" s="440">
        <v>21000</v>
      </c>
      <c r="S738" s="440">
        <v>209000</v>
      </c>
      <c r="T738" s="440">
        <v>143529</v>
      </c>
      <c r="U738" s="440"/>
      <c r="V738" s="440"/>
      <c r="W738" s="440"/>
      <c r="X738" s="440"/>
      <c r="Y738" s="440"/>
      <c r="Z738" s="440">
        <v>14672.29</v>
      </c>
      <c r="AA738" s="408">
        <f t="shared" si="91"/>
        <v>358856.71</v>
      </c>
    </row>
    <row r="739" spans="1:27" s="30" customFormat="1" ht="15.75">
      <c r="A739" s="570">
        <v>210110</v>
      </c>
      <c r="B739" s="544" t="s">
        <v>745</v>
      </c>
      <c r="C739" s="195"/>
      <c r="D739" s="216" t="s">
        <v>1597</v>
      </c>
      <c r="E739" s="290"/>
      <c r="F739" s="159"/>
      <c r="G739" s="290"/>
      <c r="H739" s="427"/>
      <c r="I739" s="304">
        <f>SUM(I740:I740)</f>
        <v>16000</v>
      </c>
      <c r="J739" s="304">
        <f>SUM(J740:J740)</f>
        <v>0</v>
      </c>
      <c r="K739" s="304">
        <f>SUM(K740:K740)</f>
        <v>0</v>
      </c>
      <c r="L739" s="304">
        <f>SUM(L740:L740)</f>
        <v>0</v>
      </c>
      <c r="M739" s="304">
        <f>SUM(M740:M740)</f>
        <v>16000</v>
      </c>
      <c r="N739" s="304">
        <f aca="true" t="shared" si="95" ref="N739:Z739">SUM(N740:N740)</f>
        <v>0</v>
      </c>
      <c r="O739" s="304">
        <f t="shared" si="95"/>
        <v>0</v>
      </c>
      <c r="P739" s="304">
        <f t="shared" si="95"/>
        <v>0</v>
      </c>
      <c r="Q739" s="304">
        <f t="shared" si="95"/>
        <v>0</v>
      </c>
      <c r="R739" s="304">
        <f t="shared" si="95"/>
        <v>16000</v>
      </c>
      <c r="S739" s="304">
        <f t="shared" si="95"/>
        <v>0</v>
      </c>
      <c r="T739" s="304">
        <f t="shared" si="95"/>
        <v>0</v>
      </c>
      <c r="U739" s="304">
        <f t="shared" si="95"/>
        <v>0</v>
      </c>
      <c r="V739" s="304">
        <f t="shared" si="95"/>
        <v>0</v>
      </c>
      <c r="W739" s="304">
        <f t="shared" si="95"/>
        <v>0</v>
      </c>
      <c r="X739" s="304">
        <f t="shared" si="95"/>
        <v>0</v>
      </c>
      <c r="Y739" s="304">
        <f t="shared" si="95"/>
        <v>0</v>
      </c>
      <c r="Z739" s="304">
        <f t="shared" si="95"/>
        <v>15998</v>
      </c>
      <c r="AA739" s="408">
        <f t="shared" si="91"/>
        <v>2</v>
      </c>
    </row>
    <row r="740" spans="1:27" s="30" customFormat="1" ht="47.25">
      <c r="A740" s="570"/>
      <c r="B740" s="544"/>
      <c r="C740" s="135"/>
      <c r="D740" s="217" t="s">
        <v>1528</v>
      </c>
      <c r="E740" s="292"/>
      <c r="F740" s="143"/>
      <c r="G740" s="292"/>
      <c r="H740" s="428">
        <v>3110</v>
      </c>
      <c r="I740" s="144">
        <v>16000</v>
      </c>
      <c r="J740" s="322"/>
      <c r="K740" s="322"/>
      <c r="L740" s="307"/>
      <c r="M740" s="307">
        <v>16000</v>
      </c>
      <c r="N740" s="408"/>
      <c r="O740" s="440"/>
      <c r="P740" s="440"/>
      <c r="Q740" s="440"/>
      <c r="R740" s="440">
        <v>16000</v>
      </c>
      <c r="S740" s="440"/>
      <c r="T740" s="440"/>
      <c r="U740" s="440"/>
      <c r="V740" s="440"/>
      <c r="W740" s="440"/>
      <c r="X740" s="440"/>
      <c r="Y740" s="440"/>
      <c r="Z740" s="408">
        <v>15998</v>
      </c>
      <c r="AA740" s="408">
        <f t="shared" si="91"/>
        <v>2</v>
      </c>
    </row>
    <row r="741" spans="1:27" ht="15.75" customHeight="1">
      <c r="A741" s="295"/>
      <c r="B741" s="225"/>
      <c r="C741" s="135"/>
      <c r="D741" s="296"/>
      <c r="E741" s="142"/>
      <c r="F741" s="143"/>
      <c r="G741" s="142"/>
      <c r="H741" s="418"/>
      <c r="I741" s="169"/>
      <c r="J741" s="169"/>
      <c r="K741" s="463"/>
      <c r="L741" s="144"/>
      <c r="M741" s="144"/>
      <c r="N741" s="408"/>
      <c r="O741" s="408"/>
      <c r="P741" s="408"/>
      <c r="Q741" s="408"/>
      <c r="R741" s="408"/>
      <c r="S741" s="408"/>
      <c r="T741" s="408"/>
      <c r="U741" s="408"/>
      <c r="V741" s="408"/>
      <c r="W741" s="408"/>
      <c r="X741" s="408"/>
      <c r="Y741" s="408"/>
      <c r="Z741" s="408"/>
      <c r="AA741" s="408">
        <f t="shared" si="91"/>
        <v>0</v>
      </c>
    </row>
    <row r="742" spans="1:27" ht="15.75">
      <c r="A742" s="297">
        <v>48</v>
      </c>
      <c r="B742" s="545" t="s">
        <v>61</v>
      </c>
      <c r="C742" s="545"/>
      <c r="D742" s="545"/>
      <c r="E742" s="298"/>
      <c r="F742" s="194"/>
      <c r="G742" s="298"/>
      <c r="H742" s="429"/>
      <c r="I742" s="299">
        <f>I743+I749+I753+I768+I770+I778+I794+I798+I930+I935+I937+I939+I990+I776</f>
        <v>73702253.52</v>
      </c>
      <c r="J742" s="299">
        <f>J743+J753+J768+J770+J778+J798+J939+J990+J790+J930+J749+J935+J794+J937</f>
        <v>1000000</v>
      </c>
      <c r="K742" s="299">
        <f>K743+K753+K768+K770+K778+K798+K939+K990+K790+K930+K749+K935+K794+K937</f>
        <v>30000</v>
      </c>
      <c r="L742" s="299">
        <f>L743+L753+L768+L770+L778+L798+L939+L990+L790+L930+L749+L935+L794+L937</f>
        <v>4027162.82</v>
      </c>
      <c r="M742" s="299">
        <f>M743+M753+M768+M770+M778+M798+M939+M990+M790+M930+M749+M935+M794+M937</f>
        <v>69661560.7</v>
      </c>
      <c r="N742" s="299">
        <f>N743+N753+N768+N770+N778+N798+N939+N990+N790+N930+N749+N935+N794+N937+N776</f>
        <v>0</v>
      </c>
      <c r="O742" s="299">
        <f>O743+O753+O768+O770+O778+O798+O939+O990+O790+O930+O749+O935+O794+O937</f>
        <v>1202299.7</v>
      </c>
      <c r="P742" s="299">
        <f>P743+P753+P768+P770+P778+P798+P939+P990+P790+P930+P749+P935+P794+P937</f>
        <v>0</v>
      </c>
      <c r="Q742" s="299">
        <f>Q743+Q753+Q768+Q770+Q778+Q798+Q939+Q990+Q790+Q930+Q749+Q935+Q794+Q937</f>
        <v>3909275.76</v>
      </c>
      <c r="R742" s="299">
        <f>R743+R753+R768+R770+R778+R798+R939+R990+R790+R930+R749+R935+R794+R937</f>
        <v>13121388.6</v>
      </c>
      <c r="S742" s="299">
        <f>S743+S753+S768+S770+S778+S798+S939+S990+S790+S930+S749+S935+S794+S937</f>
        <v>10340000</v>
      </c>
      <c r="T742" s="299">
        <f>T743+T753+T768+T770+T778+T798+T939+T990+T790+T930+T749+T935+T794+T937</f>
        <v>13218728.99</v>
      </c>
      <c r="U742" s="299">
        <f>U743+U753+U768+U770+U778+U798+U939+U990+U790+U930+U749+U935+U794+U937</f>
        <v>15282401.47</v>
      </c>
      <c r="V742" s="299">
        <f>V743+V753+V768+V770+V778+V798+V939+V990+V790+V930+V749+V935+V794+V937</f>
        <v>4666009</v>
      </c>
      <c r="W742" s="299">
        <f>W743+W753+W768+W770+W778+W798+W939+W990+W790+W930+W749+W935+W794+W937</f>
        <v>2897150</v>
      </c>
      <c r="X742" s="299">
        <f>X743+X753+X768+X770+X778+X798+X939+X990+X790+X930+X749+X935+X794+X937</f>
        <v>5429500</v>
      </c>
      <c r="Y742" s="299">
        <f>Y743+Y753+Y768+Y770+Y778+Y798+Y939+Y990+Y790+Y930+Y749+Y935+Y794+Y937</f>
        <v>2722500</v>
      </c>
      <c r="Z742" s="299">
        <f>Z743+Z753+Z768+Z770+Z778+Z798+Z939+Z990+Z790+Z930+Z749+Z935+Z794+Z937</f>
        <v>6632772.78</v>
      </c>
      <c r="AA742" s="408">
        <f t="shared" si="91"/>
        <v>50441321.74</v>
      </c>
    </row>
    <row r="743" spans="1:27" s="30" customFormat="1" ht="18.75" customHeight="1">
      <c r="A743" s="535" t="s">
        <v>1154</v>
      </c>
      <c r="B743" s="538" t="s">
        <v>1599</v>
      </c>
      <c r="C743" s="195"/>
      <c r="D743" s="136" t="s">
        <v>1597</v>
      </c>
      <c r="E743" s="137"/>
      <c r="F743" s="159"/>
      <c r="G743" s="137"/>
      <c r="H743" s="417"/>
      <c r="I743" s="139">
        <f>I747</f>
        <v>27768</v>
      </c>
      <c r="J743" s="139">
        <f aca="true" t="shared" si="96" ref="J743:Z743">SUM(J744:J748)</f>
        <v>0</v>
      </c>
      <c r="K743" s="139">
        <f t="shared" si="96"/>
        <v>0</v>
      </c>
      <c r="L743" s="139">
        <f t="shared" si="96"/>
        <v>27768</v>
      </c>
      <c r="M743" s="139">
        <f t="shared" si="96"/>
        <v>0</v>
      </c>
      <c r="N743" s="139">
        <f t="shared" si="96"/>
        <v>0</v>
      </c>
      <c r="O743" s="139">
        <f t="shared" si="96"/>
        <v>27768</v>
      </c>
      <c r="P743" s="139">
        <f t="shared" si="96"/>
        <v>0</v>
      </c>
      <c r="Q743" s="139">
        <f t="shared" si="96"/>
        <v>0</v>
      </c>
      <c r="R743" s="139">
        <f t="shared" si="96"/>
        <v>0</v>
      </c>
      <c r="S743" s="139">
        <f t="shared" si="96"/>
        <v>0</v>
      </c>
      <c r="T743" s="139">
        <f t="shared" si="96"/>
        <v>0</v>
      </c>
      <c r="U743" s="139">
        <f t="shared" si="96"/>
        <v>0</v>
      </c>
      <c r="V743" s="139">
        <f t="shared" si="96"/>
        <v>0</v>
      </c>
      <c r="W743" s="139">
        <f t="shared" si="96"/>
        <v>0</v>
      </c>
      <c r="X743" s="139">
        <f t="shared" si="96"/>
        <v>0</v>
      </c>
      <c r="Y743" s="139">
        <f t="shared" si="96"/>
        <v>0</v>
      </c>
      <c r="Z743" s="139">
        <f t="shared" si="96"/>
        <v>27768</v>
      </c>
      <c r="AA743" s="408">
        <f t="shared" si="91"/>
        <v>0</v>
      </c>
    </row>
    <row r="744" spans="1:27" ht="31.5" hidden="1">
      <c r="A744" s="536"/>
      <c r="B744" s="512"/>
      <c r="C744" s="135" t="s">
        <v>1132</v>
      </c>
      <c r="D744" s="141" t="s">
        <v>1133</v>
      </c>
      <c r="E744" s="142"/>
      <c r="F744" s="143"/>
      <c r="G744" s="142"/>
      <c r="H744" s="418"/>
      <c r="I744" s="144" t="e">
        <f>J744+K744+L744+M744+#REF!+#REF!</f>
        <v>#REF!</v>
      </c>
      <c r="J744" s="144"/>
      <c r="K744" s="144"/>
      <c r="L744" s="144"/>
      <c r="M744" s="144"/>
      <c r="N744" s="408" t="s">
        <v>1134</v>
      </c>
      <c r="O744" s="408"/>
      <c r="P744" s="408"/>
      <c r="Q744" s="408"/>
      <c r="R744" s="408"/>
      <c r="S744" s="408"/>
      <c r="T744" s="408"/>
      <c r="U744" s="408"/>
      <c r="V744" s="408"/>
      <c r="W744" s="408"/>
      <c r="X744" s="408"/>
      <c r="Y744" s="408"/>
      <c r="Z744" s="408"/>
      <c r="AA744" s="408" t="e">
        <f t="shared" si="91"/>
        <v>#VALUE!</v>
      </c>
    </row>
    <row r="745" spans="1:27" ht="15.75" hidden="1">
      <c r="A745" s="536"/>
      <c r="B745" s="512"/>
      <c r="C745" s="135" t="s">
        <v>1135</v>
      </c>
      <c r="D745" s="141" t="s">
        <v>1136</v>
      </c>
      <c r="E745" s="142"/>
      <c r="F745" s="143"/>
      <c r="G745" s="142"/>
      <c r="H745" s="418"/>
      <c r="I745" s="144" t="e">
        <f>J745+K745+L745+M745+#REF!+#REF!</f>
        <v>#REF!</v>
      </c>
      <c r="J745" s="144"/>
      <c r="K745" s="144"/>
      <c r="L745" s="144"/>
      <c r="M745" s="144"/>
      <c r="N745" s="408" t="s">
        <v>1134</v>
      </c>
      <c r="O745" s="408"/>
      <c r="P745" s="408"/>
      <c r="Q745" s="408"/>
      <c r="R745" s="408"/>
      <c r="S745" s="408"/>
      <c r="T745" s="408"/>
      <c r="U745" s="408"/>
      <c r="V745" s="408"/>
      <c r="W745" s="408"/>
      <c r="X745" s="408"/>
      <c r="Y745" s="408"/>
      <c r="Z745" s="408"/>
      <c r="AA745" s="408" t="e">
        <f t="shared" si="91"/>
        <v>#VALUE!</v>
      </c>
    </row>
    <row r="746" spans="1:27" ht="31.5" hidden="1">
      <c r="A746" s="536"/>
      <c r="B746" s="512"/>
      <c r="C746" s="135" t="s">
        <v>1137</v>
      </c>
      <c r="D746" s="141" t="s">
        <v>1138</v>
      </c>
      <c r="E746" s="142"/>
      <c r="F746" s="143"/>
      <c r="G746" s="142"/>
      <c r="H746" s="418"/>
      <c r="I746" s="144" t="e">
        <f>J746+K746+L746+M746+#REF!+#REF!</f>
        <v>#REF!</v>
      </c>
      <c r="J746" s="144"/>
      <c r="K746" s="144"/>
      <c r="L746" s="144"/>
      <c r="M746" s="144"/>
      <c r="N746" s="408" t="s">
        <v>1134</v>
      </c>
      <c r="O746" s="408"/>
      <c r="P746" s="408"/>
      <c r="Q746" s="408"/>
      <c r="R746" s="408"/>
      <c r="S746" s="408"/>
      <c r="T746" s="408"/>
      <c r="U746" s="408"/>
      <c r="V746" s="408"/>
      <c r="W746" s="408"/>
      <c r="X746" s="408"/>
      <c r="Y746" s="408"/>
      <c r="Z746" s="408"/>
      <c r="AA746" s="408" t="e">
        <f t="shared" si="91"/>
        <v>#VALUE!</v>
      </c>
    </row>
    <row r="747" spans="1:27" s="45" customFormat="1" ht="31.5">
      <c r="A747" s="594"/>
      <c r="B747" s="594"/>
      <c r="C747" s="135" t="s">
        <v>370</v>
      </c>
      <c r="D747" s="141" t="s">
        <v>1538</v>
      </c>
      <c r="E747" s="142"/>
      <c r="F747" s="143"/>
      <c r="G747" s="142"/>
      <c r="H747" s="418">
        <v>3110</v>
      </c>
      <c r="I747" s="144">
        <v>27768</v>
      </c>
      <c r="J747" s="144"/>
      <c r="K747" s="144"/>
      <c r="L747" s="144">
        <v>27768</v>
      </c>
      <c r="M747" s="144"/>
      <c r="N747" s="408"/>
      <c r="O747" s="144">
        <v>27768</v>
      </c>
      <c r="P747" s="408"/>
      <c r="Q747" s="408"/>
      <c r="R747" s="408"/>
      <c r="S747" s="408"/>
      <c r="T747" s="408"/>
      <c r="U747" s="408"/>
      <c r="V747" s="408"/>
      <c r="W747" s="408"/>
      <c r="X747" s="408"/>
      <c r="Y747" s="408"/>
      <c r="Z747" s="144">
        <v>27768</v>
      </c>
      <c r="AA747" s="408">
        <f t="shared" si="91"/>
        <v>0</v>
      </c>
    </row>
    <row r="748" spans="1:27" s="45" customFormat="1" ht="31.5" customHeight="1" hidden="1">
      <c r="A748" s="591"/>
      <c r="B748" s="591"/>
      <c r="C748" s="135" t="s">
        <v>539</v>
      </c>
      <c r="D748" s="141" t="s">
        <v>540</v>
      </c>
      <c r="E748" s="142"/>
      <c r="F748" s="143"/>
      <c r="G748" s="142"/>
      <c r="H748" s="418"/>
      <c r="I748" s="144" t="e">
        <f>J748+K748+L748+M748+#REF!+#REF!</f>
        <v>#REF!</v>
      </c>
      <c r="J748" s="473">
        <f>73.9-73.9</f>
        <v>0</v>
      </c>
      <c r="K748" s="144"/>
      <c r="L748" s="144"/>
      <c r="M748" s="144"/>
      <c r="N748" s="408"/>
      <c r="O748" s="408"/>
      <c r="P748" s="408"/>
      <c r="Q748" s="408"/>
      <c r="R748" s="408"/>
      <c r="S748" s="408"/>
      <c r="T748" s="408"/>
      <c r="U748" s="408"/>
      <c r="V748" s="408"/>
      <c r="W748" s="408"/>
      <c r="X748" s="408"/>
      <c r="Y748" s="408"/>
      <c r="Z748" s="408"/>
      <c r="AA748" s="408">
        <f t="shared" si="91"/>
        <v>0</v>
      </c>
    </row>
    <row r="749" spans="1:61" s="28" customFormat="1" ht="15.75">
      <c r="A749" s="535" t="s">
        <v>985</v>
      </c>
      <c r="B749" s="538" t="s">
        <v>986</v>
      </c>
      <c r="C749" s="195"/>
      <c r="D749" s="136" t="s">
        <v>538</v>
      </c>
      <c r="E749" s="137"/>
      <c r="F749" s="138"/>
      <c r="G749" s="137"/>
      <c r="H749" s="417"/>
      <c r="I749" s="139">
        <f aca="true" t="shared" si="97" ref="I749:Z749">SUM(I750:I752)</f>
        <v>577998.32</v>
      </c>
      <c r="J749" s="139">
        <f t="shared" si="97"/>
        <v>0</v>
      </c>
      <c r="K749" s="139">
        <f t="shared" si="97"/>
        <v>0</v>
      </c>
      <c r="L749" s="139">
        <f t="shared" si="97"/>
        <v>8856.32</v>
      </c>
      <c r="M749" s="139">
        <f t="shared" si="97"/>
        <v>569142</v>
      </c>
      <c r="N749" s="139">
        <f t="shared" si="97"/>
        <v>0</v>
      </c>
      <c r="O749" s="139">
        <f t="shared" si="97"/>
        <v>8856.32</v>
      </c>
      <c r="P749" s="139">
        <f t="shared" si="97"/>
        <v>0</v>
      </c>
      <c r="Q749" s="139">
        <f t="shared" si="97"/>
        <v>0</v>
      </c>
      <c r="R749" s="139">
        <f t="shared" si="97"/>
        <v>40000</v>
      </c>
      <c r="S749" s="139">
        <f t="shared" si="97"/>
        <v>0</v>
      </c>
      <c r="T749" s="139">
        <f t="shared" si="97"/>
        <v>78000</v>
      </c>
      <c r="U749" s="139">
        <f t="shared" si="97"/>
        <v>181142</v>
      </c>
      <c r="V749" s="139">
        <f t="shared" si="97"/>
        <v>270000</v>
      </c>
      <c r="W749" s="139">
        <f t="shared" si="97"/>
        <v>0</v>
      </c>
      <c r="X749" s="139">
        <f t="shared" si="97"/>
        <v>0</v>
      </c>
      <c r="Y749" s="139">
        <f t="shared" si="97"/>
        <v>0</v>
      </c>
      <c r="Z749" s="139">
        <f t="shared" si="97"/>
        <v>8856.32</v>
      </c>
      <c r="AA749" s="408">
        <f t="shared" si="91"/>
        <v>299142</v>
      </c>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c r="BC749" s="30"/>
      <c r="BD749" s="30"/>
      <c r="BE749" s="30"/>
      <c r="BF749" s="30"/>
      <c r="BG749" s="30"/>
      <c r="BH749" s="30"/>
      <c r="BI749" s="30"/>
    </row>
    <row r="750" spans="1:27" s="45" customFormat="1" ht="31.5">
      <c r="A750" s="536"/>
      <c r="B750" s="512"/>
      <c r="C750" s="135" t="s">
        <v>1139</v>
      </c>
      <c r="D750" s="141" t="s">
        <v>1140</v>
      </c>
      <c r="E750" s="142">
        <v>30</v>
      </c>
      <c r="F750" s="143">
        <f>100%-((E750-G750)/E750)</f>
        <v>1</v>
      </c>
      <c r="G750" s="142">
        <v>30</v>
      </c>
      <c r="H750" s="418">
        <v>3132</v>
      </c>
      <c r="I750" s="144">
        <v>8856.32</v>
      </c>
      <c r="J750" s="144"/>
      <c r="K750" s="144"/>
      <c r="L750" s="144">
        <v>8856.32</v>
      </c>
      <c r="M750" s="144"/>
      <c r="N750" s="408"/>
      <c r="O750" s="144">
        <v>8856.32</v>
      </c>
      <c r="P750" s="408"/>
      <c r="Q750" s="408"/>
      <c r="R750" s="408"/>
      <c r="S750" s="408"/>
      <c r="T750" s="408"/>
      <c r="U750" s="408"/>
      <c r="V750" s="408"/>
      <c r="W750" s="408"/>
      <c r="X750" s="408"/>
      <c r="Y750" s="408"/>
      <c r="Z750" s="144">
        <v>8856.32</v>
      </c>
      <c r="AA750" s="408">
        <f t="shared" si="91"/>
        <v>0</v>
      </c>
    </row>
    <row r="751" spans="1:27" s="362" customFormat="1" ht="15.75">
      <c r="A751" s="357"/>
      <c r="B751" s="356"/>
      <c r="C751" s="135"/>
      <c r="D751" s="14" t="s">
        <v>1529</v>
      </c>
      <c r="E751" s="142"/>
      <c r="F751" s="143"/>
      <c r="G751" s="142"/>
      <c r="H751" s="418">
        <v>3132</v>
      </c>
      <c r="I751" s="144">
        <v>269142</v>
      </c>
      <c r="J751" s="144"/>
      <c r="K751" s="144"/>
      <c r="L751" s="76"/>
      <c r="M751" s="76">
        <v>269142</v>
      </c>
      <c r="N751" s="408"/>
      <c r="O751" s="408"/>
      <c r="P751" s="408"/>
      <c r="Q751" s="408"/>
      <c r="R751" s="408">
        <v>10000</v>
      </c>
      <c r="S751" s="408"/>
      <c r="T751" s="408">
        <v>78000</v>
      </c>
      <c r="U751" s="408">
        <v>181142</v>
      </c>
      <c r="V751" s="408"/>
      <c r="W751" s="408"/>
      <c r="X751" s="408"/>
      <c r="Y751" s="408"/>
      <c r="Z751" s="408"/>
      <c r="AA751" s="408">
        <f t="shared" si="91"/>
        <v>269142</v>
      </c>
    </row>
    <row r="752" spans="1:27" s="362" customFormat="1" ht="15.75">
      <c r="A752" s="357"/>
      <c r="B752" s="356"/>
      <c r="C752" s="135"/>
      <c r="D752" s="14" t="s">
        <v>1530</v>
      </c>
      <c r="E752" s="142"/>
      <c r="F752" s="143"/>
      <c r="G752" s="142"/>
      <c r="H752" s="418">
        <v>3132</v>
      </c>
      <c r="I752" s="144">
        <v>300000</v>
      </c>
      <c r="J752" s="144"/>
      <c r="K752" s="144"/>
      <c r="L752" s="76"/>
      <c r="M752" s="76">
        <v>300000</v>
      </c>
      <c r="N752" s="408"/>
      <c r="O752" s="408"/>
      <c r="P752" s="408"/>
      <c r="Q752" s="408"/>
      <c r="R752" s="408">
        <v>30000</v>
      </c>
      <c r="S752" s="408"/>
      <c r="T752" s="408"/>
      <c r="U752" s="408"/>
      <c r="V752" s="408">
        <v>270000</v>
      </c>
      <c r="W752" s="408"/>
      <c r="X752" s="408"/>
      <c r="Y752" s="408"/>
      <c r="Z752" s="408"/>
      <c r="AA752" s="408">
        <f t="shared" si="91"/>
        <v>30000</v>
      </c>
    </row>
    <row r="753" spans="1:27" s="30" customFormat="1" ht="15.75" customHeight="1">
      <c r="A753" s="508" t="s">
        <v>987</v>
      </c>
      <c r="B753" s="544" t="s">
        <v>1636</v>
      </c>
      <c r="C753" s="195"/>
      <c r="D753" s="136" t="s">
        <v>1597</v>
      </c>
      <c r="E753" s="137"/>
      <c r="F753" s="159"/>
      <c r="G753" s="137"/>
      <c r="H753" s="417"/>
      <c r="I753" s="139">
        <f aca="true" t="shared" si="98" ref="I753:Z753">SUM(I754:I767)</f>
        <v>3968647.49</v>
      </c>
      <c r="J753" s="139">
        <f t="shared" si="98"/>
        <v>0</v>
      </c>
      <c r="K753" s="139">
        <f t="shared" si="98"/>
        <v>0</v>
      </c>
      <c r="L753" s="139">
        <f t="shared" si="98"/>
        <v>77542.1</v>
      </c>
      <c r="M753" s="139">
        <f t="shared" si="98"/>
        <v>4466875.39</v>
      </c>
      <c r="N753" s="139">
        <f t="shared" si="98"/>
        <v>0</v>
      </c>
      <c r="O753" s="139">
        <f t="shared" si="98"/>
        <v>77542.1</v>
      </c>
      <c r="P753" s="139">
        <f t="shared" si="98"/>
        <v>0</v>
      </c>
      <c r="Q753" s="139">
        <f t="shared" si="98"/>
        <v>2785770</v>
      </c>
      <c r="R753" s="139">
        <f t="shared" si="98"/>
        <v>-228735</v>
      </c>
      <c r="S753" s="139">
        <f t="shared" si="98"/>
        <v>140000</v>
      </c>
      <c r="T753" s="139">
        <f t="shared" si="98"/>
        <v>490000</v>
      </c>
      <c r="U753" s="139">
        <f t="shared" si="98"/>
        <v>454070.39</v>
      </c>
      <c r="V753" s="139">
        <f t="shared" si="98"/>
        <v>0</v>
      </c>
      <c r="W753" s="139">
        <f t="shared" si="98"/>
        <v>0</v>
      </c>
      <c r="X753" s="139">
        <f t="shared" si="98"/>
        <v>0</v>
      </c>
      <c r="Y753" s="139">
        <f t="shared" si="98"/>
        <v>250000</v>
      </c>
      <c r="Z753" s="139">
        <f t="shared" si="98"/>
        <v>134131.7</v>
      </c>
      <c r="AA753" s="408">
        <f t="shared" si="91"/>
        <v>3584515.79</v>
      </c>
    </row>
    <row r="754" spans="1:27" ht="31.5">
      <c r="A754" s="508"/>
      <c r="B754" s="544"/>
      <c r="C754" s="135" t="s">
        <v>1141</v>
      </c>
      <c r="D754" s="14" t="s">
        <v>1179</v>
      </c>
      <c r="E754" s="142">
        <v>1060.521</v>
      </c>
      <c r="F754" s="143">
        <f>100%-((E754-G754)/E754)</f>
        <v>0.994</v>
      </c>
      <c r="G754" s="142">
        <v>1054.12</v>
      </c>
      <c r="H754" s="418">
        <v>3132</v>
      </c>
      <c r="I754" s="144">
        <v>4969.61</v>
      </c>
      <c r="J754" s="144"/>
      <c r="K754" s="144"/>
      <c r="L754" s="49">
        <v>4969.61</v>
      </c>
      <c r="M754" s="144"/>
      <c r="N754" s="408"/>
      <c r="O754" s="144">
        <v>4969.61</v>
      </c>
      <c r="P754" s="408"/>
      <c r="Q754" s="408"/>
      <c r="R754" s="408"/>
      <c r="S754" s="408"/>
      <c r="T754" s="408"/>
      <c r="U754" s="408"/>
      <c r="V754" s="408"/>
      <c r="W754" s="408"/>
      <c r="X754" s="408"/>
      <c r="Y754" s="408"/>
      <c r="Z754" s="144">
        <v>4969.61</v>
      </c>
      <c r="AA754" s="408">
        <f t="shared" si="91"/>
        <v>0</v>
      </c>
    </row>
    <row r="755" spans="1:27" ht="31.5">
      <c r="A755" s="508"/>
      <c r="B755" s="544"/>
      <c r="C755" s="135" t="s">
        <v>1180</v>
      </c>
      <c r="D755" s="14" t="s">
        <v>1181</v>
      </c>
      <c r="E755" s="142">
        <v>300</v>
      </c>
      <c r="F755" s="143">
        <f>100%-((E755-G755)/E755)</f>
        <v>1</v>
      </c>
      <c r="G755" s="142">
        <v>300</v>
      </c>
      <c r="H755" s="418">
        <v>3132</v>
      </c>
      <c r="I755" s="144">
        <v>634.38</v>
      </c>
      <c r="J755" s="144"/>
      <c r="K755" s="144"/>
      <c r="L755" s="49">
        <v>634.38</v>
      </c>
      <c r="M755" s="144"/>
      <c r="N755" s="408"/>
      <c r="O755" s="144">
        <v>634.38</v>
      </c>
      <c r="P755" s="408"/>
      <c r="Q755" s="408"/>
      <c r="R755" s="408"/>
      <c r="S755" s="408"/>
      <c r="T755" s="408"/>
      <c r="U755" s="408"/>
      <c r="V755" s="408"/>
      <c r="W755" s="408"/>
      <c r="X755" s="408"/>
      <c r="Y755" s="408"/>
      <c r="Z755" s="144">
        <v>634.38</v>
      </c>
      <c r="AA755" s="408">
        <f t="shared" si="91"/>
        <v>0</v>
      </c>
    </row>
    <row r="756" spans="1:27" ht="47.25">
      <c r="A756" s="508"/>
      <c r="B756" s="544"/>
      <c r="C756" s="135" t="s">
        <v>1182</v>
      </c>
      <c r="D756" s="14" t="s">
        <v>1607</v>
      </c>
      <c r="E756" s="142">
        <v>180</v>
      </c>
      <c r="F756" s="143">
        <f>100%-((E756-G756)/E756)</f>
        <v>1</v>
      </c>
      <c r="G756" s="142">
        <v>180</v>
      </c>
      <c r="H756" s="418">
        <v>3132</v>
      </c>
      <c r="I756" s="144">
        <v>71938.11</v>
      </c>
      <c r="J756" s="144"/>
      <c r="K756" s="144"/>
      <c r="L756" s="49">
        <v>71938.11</v>
      </c>
      <c r="M756" s="144"/>
      <c r="N756" s="408"/>
      <c r="O756" s="144">
        <v>71938.11</v>
      </c>
      <c r="P756" s="408"/>
      <c r="Q756" s="408"/>
      <c r="R756" s="408"/>
      <c r="S756" s="408"/>
      <c r="T756" s="408"/>
      <c r="U756" s="408"/>
      <c r="V756" s="408"/>
      <c r="W756" s="408"/>
      <c r="X756" s="408"/>
      <c r="Y756" s="408"/>
      <c r="Z756" s="144">
        <v>71938.11</v>
      </c>
      <c r="AA756" s="408">
        <f t="shared" si="91"/>
        <v>0</v>
      </c>
    </row>
    <row r="757" spans="1:27" s="362" customFormat="1" ht="47.25">
      <c r="A757" s="508"/>
      <c r="B757" s="544"/>
      <c r="C757" s="135"/>
      <c r="D757" s="14" t="s">
        <v>1531</v>
      </c>
      <c r="E757" s="142"/>
      <c r="F757" s="143"/>
      <c r="G757" s="142"/>
      <c r="H757" s="418">
        <v>3132</v>
      </c>
      <c r="I757" s="144">
        <v>1875000</v>
      </c>
      <c r="J757" s="144"/>
      <c r="K757" s="144"/>
      <c r="L757" s="76"/>
      <c r="M757" s="76">
        <v>1875000</v>
      </c>
      <c r="N757" s="408"/>
      <c r="O757" s="408"/>
      <c r="P757" s="408"/>
      <c r="Q757" s="408">
        <v>1815000</v>
      </c>
      <c r="R757" s="408">
        <v>60000</v>
      </c>
      <c r="S757" s="408"/>
      <c r="T757" s="408"/>
      <c r="U757" s="408"/>
      <c r="V757" s="408"/>
      <c r="W757" s="408"/>
      <c r="X757" s="408"/>
      <c r="Y757" s="408"/>
      <c r="Z757" s="408"/>
      <c r="AA757" s="408">
        <f t="shared" si="91"/>
        <v>1875000</v>
      </c>
    </row>
    <row r="758" spans="1:27" s="362" customFormat="1" ht="31.5">
      <c r="A758" s="508"/>
      <c r="B758" s="544"/>
      <c r="C758" s="135"/>
      <c r="D758" s="14" t="s">
        <v>1532</v>
      </c>
      <c r="E758" s="142"/>
      <c r="F758" s="143"/>
      <c r="G758" s="142"/>
      <c r="H758" s="418">
        <v>3132</v>
      </c>
      <c r="I758" s="144">
        <v>369070.39</v>
      </c>
      <c r="J758" s="144"/>
      <c r="K758" s="144"/>
      <c r="L758" s="76"/>
      <c r="M758" s="76">
        <v>369070.39</v>
      </c>
      <c r="N758" s="408"/>
      <c r="O758" s="408"/>
      <c r="P758" s="408"/>
      <c r="Q758" s="408"/>
      <c r="R758" s="408"/>
      <c r="S758" s="408"/>
      <c r="T758" s="408"/>
      <c r="U758" s="76">
        <f>369070.39-250000</f>
        <v>119070.39</v>
      </c>
      <c r="V758" s="408"/>
      <c r="W758" s="408"/>
      <c r="X758" s="408"/>
      <c r="Y758" s="408">
        <v>250000</v>
      </c>
      <c r="Z758" s="408"/>
      <c r="AA758" s="408">
        <f t="shared" si="91"/>
        <v>119070.39</v>
      </c>
    </row>
    <row r="759" spans="1:27" s="362" customFormat="1" ht="31.5">
      <c r="A759" s="508"/>
      <c r="B759" s="544"/>
      <c r="C759" s="135"/>
      <c r="D759" s="376" t="s">
        <v>240</v>
      </c>
      <c r="E759" s="142"/>
      <c r="F759" s="143"/>
      <c r="G759" s="142"/>
      <c r="H759" s="418">
        <v>3132</v>
      </c>
      <c r="I759" s="144">
        <v>192035</v>
      </c>
      <c r="J759" s="144"/>
      <c r="K759" s="144"/>
      <c r="L759" s="76"/>
      <c r="M759" s="76">
        <v>192035</v>
      </c>
      <c r="N759" s="408"/>
      <c r="O759" s="408"/>
      <c r="P759" s="408"/>
      <c r="Q759" s="408"/>
      <c r="R759" s="76">
        <v>192035</v>
      </c>
      <c r="S759" s="408"/>
      <c r="T759" s="408"/>
      <c r="U759" s="408"/>
      <c r="V759" s="408"/>
      <c r="W759" s="408"/>
      <c r="X759" s="408"/>
      <c r="Y759" s="408"/>
      <c r="Z759" s="408">
        <v>56589.6</v>
      </c>
      <c r="AA759" s="408">
        <f t="shared" si="91"/>
        <v>135445.4</v>
      </c>
    </row>
    <row r="760" spans="1:27" s="362" customFormat="1" ht="31.5">
      <c r="A760" s="508"/>
      <c r="B760" s="544"/>
      <c r="C760" s="135"/>
      <c r="D760" s="376" t="s">
        <v>1533</v>
      </c>
      <c r="E760" s="142"/>
      <c r="F760" s="143"/>
      <c r="G760" s="142"/>
      <c r="H760" s="418">
        <v>3132</v>
      </c>
      <c r="I760" s="144">
        <v>10000</v>
      </c>
      <c r="J760" s="144"/>
      <c r="K760" s="144"/>
      <c r="L760" s="76"/>
      <c r="M760" s="76">
        <v>10000</v>
      </c>
      <c r="N760" s="408"/>
      <c r="O760" s="408"/>
      <c r="P760" s="408"/>
      <c r="Q760" s="408"/>
      <c r="R760" s="76">
        <v>10000</v>
      </c>
      <c r="S760" s="408"/>
      <c r="T760" s="408"/>
      <c r="U760" s="408"/>
      <c r="V760" s="408"/>
      <c r="W760" s="408"/>
      <c r="X760" s="408"/>
      <c r="Y760" s="408"/>
      <c r="Z760" s="408"/>
      <c r="AA760" s="408">
        <f t="shared" si="91"/>
        <v>10000</v>
      </c>
    </row>
    <row r="761" spans="1:27" s="362" customFormat="1" ht="15.75">
      <c r="A761" s="508"/>
      <c r="B761" s="544"/>
      <c r="C761" s="135"/>
      <c r="D761" s="14" t="s">
        <v>270</v>
      </c>
      <c r="E761" s="142"/>
      <c r="F761" s="143"/>
      <c r="G761" s="142"/>
      <c r="H761" s="418">
        <v>3132</v>
      </c>
      <c r="I761" s="144">
        <v>45000</v>
      </c>
      <c r="J761" s="144"/>
      <c r="K761" s="144"/>
      <c r="L761" s="76"/>
      <c r="M761" s="76">
        <v>45000</v>
      </c>
      <c r="N761" s="408"/>
      <c r="O761" s="408"/>
      <c r="P761" s="408"/>
      <c r="Q761" s="408"/>
      <c r="R761" s="408"/>
      <c r="S761" s="408"/>
      <c r="T761" s="76">
        <v>45000</v>
      </c>
      <c r="U761" s="408"/>
      <c r="V761" s="408"/>
      <c r="W761" s="408"/>
      <c r="X761" s="408"/>
      <c r="Y761" s="408"/>
      <c r="Z761" s="408"/>
      <c r="AA761" s="408">
        <f t="shared" si="91"/>
        <v>45000</v>
      </c>
    </row>
    <row r="762" spans="1:27" s="362" customFormat="1" ht="31.5">
      <c r="A762" s="508"/>
      <c r="B762" s="544"/>
      <c r="C762" s="135"/>
      <c r="D762" s="14" t="s">
        <v>1534</v>
      </c>
      <c r="E762" s="142"/>
      <c r="F762" s="143"/>
      <c r="G762" s="142"/>
      <c r="H762" s="418">
        <v>3132</v>
      </c>
      <c r="I762" s="144">
        <v>700000</v>
      </c>
      <c r="J762" s="144"/>
      <c r="K762" s="144"/>
      <c r="L762" s="76"/>
      <c r="M762" s="76">
        <v>700000</v>
      </c>
      <c r="N762" s="408"/>
      <c r="O762" s="408"/>
      <c r="P762" s="408"/>
      <c r="Q762" s="408"/>
      <c r="R762" s="408"/>
      <c r="S762" s="408">
        <v>30000</v>
      </c>
      <c r="T762" s="408">
        <v>335000</v>
      </c>
      <c r="U762" s="408">
        <v>335000</v>
      </c>
      <c r="V762" s="408"/>
      <c r="W762" s="408"/>
      <c r="X762" s="408"/>
      <c r="Y762" s="408"/>
      <c r="Z762" s="408"/>
      <c r="AA762" s="408">
        <f t="shared" si="91"/>
        <v>700000</v>
      </c>
    </row>
    <row r="763" spans="1:27" s="362" customFormat="1" ht="31.5" hidden="1">
      <c r="A763" s="508"/>
      <c r="B763" s="544"/>
      <c r="C763" s="135"/>
      <c r="D763" s="14" t="s">
        <v>1535</v>
      </c>
      <c r="E763" s="142"/>
      <c r="F763" s="143"/>
      <c r="G763" s="142"/>
      <c r="H763" s="418">
        <v>3132</v>
      </c>
      <c r="I763" s="144">
        <f>575770-575770</f>
        <v>0</v>
      </c>
      <c r="J763" s="144"/>
      <c r="K763" s="144"/>
      <c r="L763" s="76"/>
      <c r="M763" s="76">
        <v>575770</v>
      </c>
      <c r="N763" s="408"/>
      <c r="O763" s="408"/>
      <c r="P763" s="408"/>
      <c r="Q763" s="408">
        <v>575770</v>
      </c>
      <c r="R763" s="408">
        <v>-575770</v>
      </c>
      <c r="S763" s="408"/>
      <c r="T763" s="408"/>
      <c r="U763" s="408"/>
      <c r="V763" s="408"/>
      <c r="W763" s="408"/>
      <c r="X763" s="408"/>
      <c r="Y763" s="408"/>
      <c r="Z763" s="408"/>
      <c r="AA763" s="408">
        <f t="shared" si="91"/>
        <v>0</v>
      </c>
    </row>
    <row r="764" spans="1:27" s="362" customFormat="1" ht="31.5">
      <c r="A764" s="508"/>
      <c r="B764" s="544"/>
      <c r="C764" s="135"/>
      <c r="D764" s="13" t="s">
        <v>1536</v>
      </c>
      <c r="E764" s="142"/>
      <c r="F764" s="143"/>
      <c r="G764" s="142"/>
      <c r="H764" s="418">
        <v>3132</v>
      </c>
      <c r="I764" s="144">
        <v>230000</v>
      </c>
      <c r="J764" s="144"/>
      <c r="K764" s="144"/>
      <c r="L764" s="76"/>
      <c r="M764" s="76">
        <v>230000</v>
      </c>
      <c r="N764" s="408"/>
      <c r="O764" s="408"/>
      <c r="P764" s="408"/>
      <c r="Q764" s="408"/>
      <c r="R764" s="408">
        <v>70000</v>
      </c>
      <c r="S764" s="408">
        <v>80000</v>
      </c>
      <c r="T764" s="408">
        <v>80000</v>
      </c>
      <c r="U764" s="408"/>
      <c r="V764" s="408"/>
      <c r="W764" s="408"/>
      <c r="X764" s="408"/>
      <c r="Y764" s="408"/>
      <c r="Z764" s="408"/>
      <c r="AA764" s="408">
        <f t="shared" si="91"/>
        <v>230000</v>
      </c>
    </row>
    <row r="765" spans="1:27" s="362" customFormat="1" ht="31.5">
      <c r="A765" s="508"/>
      <c r="B765" s="544"/>
      <c r="C765" s="135"/>
      <c r="D765" s="14" t="s">
        <v>1537</v>
      </c>
      <c r="E765" s="142"/>
      <c r="F765" s="143"/>
      <c r="G765" s="142"/>
      <c r="H765" s="418">
        <v>3132</v>
      </c>
      <c r="I765" s="144">
        <v>40000</v>
      </c>
      <c r="J765" s="144"/>
      <c r="K765" s="144"/>
      <c r="L765" s="76"/>
      <c r="M765" s="76">
        <v>40000</v>
      </c>
      <c r="N765" s="408"/>
      <c r="O765" s="408"/>
      <c r="P765" s="408"/>
      <c r="Q765" s="408">
        <v>40000</v>
      </c>
      <c r="R765" s="408"/>
      <c r="S765" s="408"/>
      <c r="T765" s="408"/>
      <c r="U765" s="408"/>
      <c r="V765" s="408"/>
      <c r="W765" s="408"/>
      <c r="X765" s="408"/>
      <c r="Y765" s="408"/>
      <c r="Z765" s="408"/>
      <c r="AA765" s="408">
        <f t="shared" si="91"/>
        <v>40000</v>
      </c>
    </row>
    <row r="766" spans="1:27" s="362" customFormat="1" ht="31.5">
      <c r="A766" s="508"/>
      <c r="B766" s="544"/>
      <c r="C766" s="135" t="s">
        <v>267</v>
      </c>
      <c r="D766" s="14" t="s">
        <v>1581</v>
      </c>
      <c r="E766" s="142">
        <v>200</v>
      </c>
      <c r="F766" s="143">
        <f>100%-((E766-G766)/E766)</f>
        <v>1</v>
      </c>
      <c r="G766" s="142">
        <v>200</v>
      </c>
      <c r="H766" s="418">
        <v>3132</v>
      </c>
      <c r="I766" s="144">
        <v>75000</v>
      </c>
      <c r="J766" s="144"/>
      <c r="K766" s="144"/>
      <c r="L766" s="76"/>
      <c r="M766" s="76">
        <v>75000</v>
      </c>
      <c r="N766" s="408"/>
      <c r="O766" s="408"/>
      <c r="P766" s="408"/>
      <c r="Q766" s="408"/>
      <c r="R766" s="408">
        <v>15000</v>
      </c>
      <c r="S766" s="408">
        <v>30000</v>
      </c>
      <c r="T766" s="408">
        <v>30000</v>
      </c>
      <c r="U766" s="408"/>
      <c r="V766" s="408"/>
      <c r="W766" s="408"/>
      <c r="X766" s="408"/>
      <c r="Y766" s="408"/>
      <c r="Z766" s="408"/>
      <c r="AA766" s="408">
        <f t="shared" si="91"/>
        <v>75000</v>
      </c>
    </row>
    <row r="767" spans="1:27" s="362" customFormat="1" ht="31.5">
      <c r="A767" s="508"/>
      <c r="B767" s="544"/>
      <c r="C767" s="135" t="s">
        <v>269</v>
      </c>
      <c r="D767" s="14" t="s">
        <v>1582</v>
      </c>
      <c r="E767" s="142">
        <v>2500</v>
      </c>
      <c r="F767" s="143">
        <f>100%-((E767-G767)/E767)</f>
        <v>1</v>
      </c>
      <c r="G767" s="142">
        <v>2500</v>
      </c>
      <c r="H767" s="418">
        <v>3132</v>
      </c>
      <c r="I767" s="144">
        <v>355000</v>
      </c>
      <c r="J767" s="144"/>
      <c r="K767" s="144"/>
      <c r="L767" s="76"/>
      <c r="M767" s="76">
        <v>355000</v>
      </c>
      <c r="N767" s="408"/>
      <c r="O767" s="408"/>
      <c r="P767" s="408"/>
      <c r="Q767" s="408">
        <v>355000</v>
      </c>
      <c r="R767" s="408"/>
      <c r="S767" s="408"/>
      <c r="T767" s="408"/>
      <c r="U767" s="408"/>
      <c r="V767" s="408"/>
      <c r="W767" s="408"/>
      <c r="X767" s="408"/>
      <c r="Y767" s="408"/>
      <c r="Z767" s="408"/>
      <c r="AA767" s="408">
        <f t="shared" si="91"/>
        <v>355000</v>
      </c>
    </row>
    <row r="768" spans="1:27" s="30" customFormat="1" ht="15.75">
      <c r="A768" s="508" t="s">
        <v>980</v>
      </c>
      <c r="B768" s="544" t="s">
        <v>1117</v>
      </c>
      <c r="C768" s="195"/>
      <c r="D768" s="136" t="s">
        <v>1597</v>
      </c>
      <c r="E768" s="137"/>
      <c r="F768" s="159"/>
      <c r="G768" s="137"/>
      <c r="H768" s="417"/>
      <c r="I768" s="139">
        <f>I769</f>
        <v>200000</v>
      </c>
      <c r="J768" s="139">
        <f>J769</f>
        <v>0</v>
      </c>
      <c r="K768" s="139">
        <f>K769</f>
        <v>0</v>
      </c>
      <c r="L768" s="139">
        <f>L769</f>
        <v>200000</v>
      </c>
      <c r="M768" s="139">
        <f>M769</f>
        <v>0</v>
      </c>
      <c r="N768" s="139">
        <f aca="true" t="shared" si="99" ref="N768:Z768">N769</f>
        <v>0</v>
      </c>
      <c r="O768" s="139">
        <f t="shared" si="99"/>
        <v>0</v>
      </c>
      <c r="P768" s="139">
        <f t="shared" si="99"/>
        <v>0</v>
      </c>
      <c r="Q768" s="139">
        <f t="shared" si="99"/>
        <v>0</v>
      </c>
      <c r="R768" s="139">
        <f t="shared" si="99"/>
        <v>0</v>
      </c>
      <c r="S768" s="139">
        <f t="shared" si="99"/>
        <v>40000</v>
      </c>
      <c r="T768" s="139">
        <f t="shared" si="99"/>
        <v>0</v>
      </c>
      <c r="U768" s="139">
        <f t="shared" si="99"/>
        <v>0</v>
      </c>
      <c r="V768" s="139">
        <f t="shared" si="99"/>
        <v>0</v>
      </c>
      <c r="W768" s="139">
        <f t="shared" si="99"/>
        <v>0</v>
      </c>
      <c r="X768" s="139">
        <f t="shared" si="99"/>
        <v>0</v>
      </c>
      <c r="Y768" s="139">
        <f t="shared" si="99"/>
        <v>160000</v>
      </c>
      <c r="Z768" s="139">
        <f t="shared" si="99"/>
        <v>0</v>
      </c>
      <c r="AA768" s="408">
        <f t="shared" si="91"/>
        <v>40000</v>
      </c>
    </row>
    <row r="769" spans="1:27" ht="47.25">
      <c r="A769" s="508"/>
      <c r="B769" s="544"/>
      <c r="C769" s="135" t="s">
        <v>271</v>
      </c>
      <c r="D769" s="141" t="s">
        <v>258</v>
      </c>
      <c r="E769" s="142">
        <v>200</v>
      </c>
      <c r="F769" s="143">
        <f>100%-((E769-G769)/E769)</f>
        <v>1</v>
      </c>
      <c r="G769" s="142">
        <v>200</v>
      </c>
      <c r="H769" s="418">
        <v>3132</v>
      </c>
      <c r="I769" s="144">
        <v>200000</v>
      </c>
      <c r="J769" s="144"/>
      <c r="K769" s="144"/>
      <c r="L769" s="472">
        <v>200000</v>
      </c>
      <c r="M769" s="144"/>
      <c r="N769" s="408"/>
      <c r="O769" s="408"/>
      <c r="P769" s="408"/>
      <c r="Q769" s="408"/>
      <c r="R769" s="408"/>
      <c r="S769" s="408">
        <v>40000</v>
      </c>
      <c r="T769" s="408">
        <f>40000-40000</f>
        <v>0</v>
      </c>
      <c r="U769" s="408">
        <f>40000-40000</f>
        <v>0</v>
      </c>
      <c r="V769" s="408">
        <f>40000-40000</f>
        <v>0</v>
      </c>
      <c r="W769" s="408">
        <f>40000-40000</f>
        <v>0</v>
      </c>
      <c r="X769" s="408"/>
      <c r="Y769" s="408">
        <v>160000</v>
      </c>
      <c r="Z769" s="408"/>
      <c r="AA769" s="408">
        <f t="shared" si="91"/>
        <v>40000</v>
      </c>
    </row>
    <row r="770" spans="1:27" s="30" customFormat="1" ht="15.75" customHeight="1">
      <c r="A770" s="535" t="s">
        <v>1364</v>
      </c>
      <c r="B770" s="538" t="s">
        <v>528</v>
      </c>
      <c r="C770" s="195"/>
      <c r="D770" s="136" t="s">
        <v>1597</v>
      </c>
      <c r="E770" s="137"/>
      <c r="F770" s="159"/>
      <c r="G770" s="137"/>
      <c r="H770" s="417"/>
      <c r="I770" s="139">
        <f>SUM(I771:I775)</f>
        <v>1181320.28</v>
      </c>
      <c r="J770" s="139">
        <f>SUM(J771:J775)</f>
        <v>0</v>
      </c>
      <c r="K770" s="139">
        <f>SUM(K771:K775)</f>
        <v>0</v>
      </c>
      <c r="L770" s="139">
        <f>SUM(L771:L775)</f>
        <v>84320.28</v>
      </c>
      <c r="M770" s="139">
        <f>SUM(M771:M775)</f>
        <v>1097000</v>
      </c>
      <c r="N770" s="139">
        <f>SUM(N771:N775)</f>
        <v>0</v>
      </c>
      <c r="O770" s="139">
        <f>SUM(O771:O775)</f>
        <v>84320.28</v>
      </c>
      <c r="P770" s="139">
        <f>SUM(P771:P775)</f>
        <v>0</v>
      </c>
      <c r="Q770" s="139">
        <f>SUM(Q771:Q775)</f>
        <v>0</v>
      </c>
      <c r="R770" s="139">
        <f>SUM(R771:R775)</f>
        <v>150000</v>
      </c>
      <c r="S770" s="139">
        <f>SUM(S771:S775)</f>
        <v>170000</v>
      </c>
      <c r="T770" s="139">
        <f>SUM(T771:T775)</f>
        <v>235000</v>
      </c>
      <c r="U770" s="139">
        <f>SUM(U771:U775)</f>
        <v>85000</v>
      </c>
      <c r="V770" s="139">
        <f>SUM(V771:V775)</f>
        <v>57000</v>
      </c>
      <c r="W770" s="139">
        <f>SUM(W771:W775)</f>
        <v>0</v>
      </c>
      <c r="X770" s="139">
        <f>SUM(X771:X775)</f>
        <v>0</v>
      </c>
      <c r="Y770" s="139">
        <f>SUM(Y771:Y775)</f>
        <v>0</v>
      </c>
      <c r="Z770" s="139">
        <f>SUM(Z771:Z775)</f>
        <v>84320.28</v>
      </c>
      <c r="AA770" s="408">
        <f t="shared" si="91"/>
        <v>640000</v>
      </c>
    </row>
    <row r="771" spans="1:27" ht="63">
      <c r="A771" s="536"/>
      <c r="B771" s="512"/>
      <c r="C771" s="135" t="s">
        <v>1073</v>
      </c>
      <c r="D771" s="141" t="s">
        <v>943</v>
      </c>
      <c r="E771" s="142">
        <v>90</v>
      </c>
      <c r="F771" s="143">
        <f>100%-((E771-G771)/E771)</f>
        <v>1</v>
      </c>
      <c r="G771" s="142">
        <v>90</v>
      </c>
      <c r="H771" s="418">
        <v>3132</v>
      </c>
      <c r="I771" s="144">
        <v>84320.28</v>
      </c>
      <c r="J771" s="144"/>
      <c r="K771" s="144"/>
      <c r="L771" s="144">
        <v>84320.28</v>
      </c>
      <c r="M771" s="144"/>
      <c r="N771" s="408"/>
      <c r="O771" s="144">
        <v>84320.28</v>
      </c>
      <c r="P771" s="408"/>
      <c r="Q771" s="408"/>
      <c r="R771" s="408"/>
      <c r="S771" s="408"/>
      <c r="T771" s="408"/>
      <c r="U771" s="408"/>
      <c r="V771" s="408"/>
      <c r="W771" s="408"/>
      <c r="X771" s="408"/>
      <c r="Y771" s="408"/>
      <c r="Z771" s="144">
        <v>84320.28</v>
      </c>
      <c r="AA771" s="408">
        <f t="shared" si="91"/>
        <v>0</v>
      </c>
    </row>
    <row r="772" spans="1:27" s="362" customFormat="1" ht="63">
      <c r="A772" s="536"/>
      <c r="B772" s="512"/>
      <c r="C772" s="135"/>
      <c r="D772" s="13" t="s">
        <v>1583</v>
      </c>
      <c r="E772" s="142"/>
      <c r="F772" s="143"/>
      <c r="G772" s="142"/>
      <c r="H772" s="418">
        <v>3132</v>
      </c>
      <c r="I772" s="144">
        <v>40000</v>
      </c>
      <c r="J772" s="144"/>
      <c r="K772" s="144"/>
      <c r="L772" s="76"/>
      <c r="M772" s="76">
        <v>40000</v>
      </c>
      <c r="N772" s="408"/>
      <c r="O772" s="408"/>
      <c r="P772" s="408"/>
      <c r="Q772" s="408"/>
      <c r="R772" s="408"/>
      <c r="S772" s="408">
        <v>40000</v>
      </c>
      <c r="T772" s="408"/>
      <c r="U772" s="408"/>
      <c r="V772" s="408"/>
      <c r="W772" s="408"/>
      <c r="X772" s="408"/>
      <c r="Y772" s="408"/>
      <c r="Z772" s="408"/>
      <c r="AA772" s="408">
        <f t="shared" si="91"/>
        <v>40000</v>
      </c>
    </row>
    <row r="773" spans="1:27" s="362" customFormat="1" ht="47.25">
      <c r="A773" s="536"/>
      <c r="B773" s="512"/>
      <c r="C773" s="135"/>
      <c r="D773" s="13" t="s">
        <v>1031</v>
      </c>
      <c r="E773" s="142"/>
      <c r="F773" s="143"/>
      <c r="G773" s="142"/>
      <c r="H773" s="418">
        <v>3132</v>
      </c>
      <c r="I773" s="144">
        <v>550000</v>
      </c>
      <c r="J773" s="144"/>
      <c r="K773" s="144"/>
      <c r="L773" s="76"/>
      <c r="M773" s="76">
        <v>550000</v>
      </c>
      <c r="N773" s="408"/>
      <c r="O773" s="408"/>
      <c r="P773" s="408"/>
      <c r="Q773" s="408"/>
      <c r="R773" s="408">
        <v>150000</v>
      </c>
      <c r="S773" s="408">
        <v>100000</v>
      </c>
      <c r="T773" s="408">
        <v>200000</v>
      </c>
      <c r="U773" s="408">
        <v>100000</v>
      </c>
      <c r="V773" s="408"/>
      <c r="W773" s="408"/>
      <c r="X773" s="408"/>
      <c r="Y773" s="408"/>
      <c r="Z773" s="408"/>
      <c r="AA773" s="408">
        <f t="shared" si="91"/>
        <v>550000</v>
      </c>
    </row>
    <row r="774" spans="1:27" s="362" customFormat="1" ht="47.25">
      <c r="A774" s="536"/>
      <c r="B774" s="512"/>
      <c r="C774" s="135"/>
      <c r="D774" s="262" t="s">
        <v>1032</v>
      </c>
      <c r="E774" s="142"/>
      <c r="F774" s="143"/>
      <c r="G774" s="142"/>
      <c r="H774" s="418">
        <v>3132</v>
      </c>
      <c r="I774" s="144">
        <v>50000</v>
      </c>
      <c r="J774" s="144"/>
      <c r="K774" s="144"/>
      <c r="L774" s="76"/>
      <c r="M774" s="76">
        <v>50000</v>
      </c>
      <c r="N774" s="408"/>
      <c r="O774" s="408"/>
      <c r="P774" s="408"/>
      <c r="Q774" s="408"/>
      <c r="R774" s="408"/>
      <c r="S774" s="408">
        <v>15000</v>
      </c>
      <c r="T774" s="408">
        <v>35000</v>
      </c>
      <c r="U774" s="408"/>
      <c r="V774" s="408"/>
      <c r="W774" s="408"/>
      <c r="X774" s="408"/>
      <c r="Y774" s="408"/>
      <c r="Z774" s="408"/>
      <c r="AA774" s="408">
        <f t="shared" si="91"/>
        <v>50000</v>
      </c>
    </row>
    <row r="775" spans="1:27" s="362" customFormat="1" ht="31.5">
      <c r="A775" s="515"/>
      <c r="B775" s="516"/>
      <c r="C775" s="135"/>
      <c r="D775" s="262" t="s">
        <v>279</v>
      </c>
      <c r="E775" s="142"/>
      <c r="F775" s="143"/>
      <c r="G775" s="142"/>
      <c r="H775" s="418">
        <v>3132</v>
      </c>
      <c r="I775" s="144">
        <v>457000</v>
      </c>
      <c r="J775" s="144"/>
      <c r="K775" s="144"/>
      <c r="L775" s="76"/>
      <c r="M775" s="76">
        <v>457000</v>
      </c>
      <c r="N775" s="408"/>
      <c r="O775" s="408"/>
      <c r="P775" s="408"/>
      <c r="Q775" s="408"/>
      <c r="R775" s="408"/>
      <c r="S775" s="408">
        <v>15000</v>
      </c>
      <c r="T775" s="408"/>
      <c r="U775" s="408">
        <f>221000-236000</f>
        <v>-15000</v>
      </c>
      <c r="V775" s="408">
        <f>221000-164000</f>
        <v>57000</v>
      </c>
      <c r="W775" s="408"/>
      <c r="X775" s="408"/>
      <c r="Y775" s="408"/>
      <c r="Z775" s="408"/>
      <c r="AA775" s="408">
        <f t="shared" si="91"/>
        <v>0</v>
      </c>
    </row>
    <row r="776" spans="1:27" s="362" customFormat="1" ht="15.75">
      <c r="A776" s="535" t="s">
        <v>70</v>
      </c>
      <c r="B776" s="538" t="s">
        <v>1494</v>
      </c>
      <c r="C776" s="135"/>
      <c r="D776" s="608" t="s">
        <v>1597</v>
      </c>
      <c r="E776" s="142"/>
      <c r="F776" s="143"/>
      <c r="G776" s="142"/>
      <c r="H776" s="420"/>
      <c r="I776" s="462">
        <f>I777</f>
        <v>513000</v>
      </c>
      <c r="J776" s="462"/>
      <c r="K776" s="462"/>
      <c r="L776" s="606"/>
      <c r="M776" s="606"/>
      <c r="N776" s="607">
        <f>N777</f>
        <v>0</v>
      </c>
      <c r="O776" s="607">
        <f>O777</f>
        <v>0</v>
      </c>
      <c r="P776" s="607">
        <f>P777</f>
        <v>0</v>
      </c>
      <c r="Q776" s="607">
        <f>Q777</f>
        <v>0</v>
      </c>
      <c r="R776" s="607">
        <f aca="true" t="shared" si="100" ref="R776:Z776">R777</f>
        <v>0</v>
      </c>
      <c r="S776" s="607">
        <f t="shared" si="100"/>
        <v>0</v>
      </c>
      <c r="T776" s="607">
        <f t="shared" si="100"/>
        <v>0</v>
      </c>
      <c r="U776" s="607">
        <f t="shared" si="100"/>
        <v>513000</v>
      </c>
      <c r="V776" s="607">
        <f t="shared" si="100"/>
        <v>0</v>
      </c>
      <c r="W776" s="607">
        <f t="shared" si="100"/>
        <v>0</v>
      </c>
      <c r="X776" s="607">
        <f t="shared" si="100"/>
        <v>0</v>
      </c>
      <c r="Y776" s="607">
        <f t="shared" si="100"/>
        <v>0</v>
      </c>
      <c r="Z776" s="607">
        <f t="shared" si="100"/>
        <v>0</v>
      </c>
      <c r="AA776" s="408">
        <f t="shared" si="91"/>
        <v>513000</v>
      </c>
    </row>
    <row r="777" spans="1:27" s="362" customFormat="1" ht="61.5" customHeight="1">
      <c r="A777" s="515"/>
      <c r="B777" s="516"/>
      <c r="C777" s="135"/>
      <c r="D777" s="262" t="s">
        <v>1458</v>
      </c>
      <c r="E777" s="142"/>
      <c r="F777" s="143"/>
      <c r="G777" s="142"/>
      <c r="H777" s="418">
        <v>3131</v>
      </c>
      <c r="I777" s="144">
        <v>513000</v>
      </c>
      <c r="J777" s="144"/>
      <c r="K777" s="144"/>
      <c r="L777" s="76"/>
      <c r="M777" s="76"/>
      <c r="N777" s="408"/>
      <c r="O777" s="408"/>
      <c r="P777" s="408"/>
      <c r="Q777" s="408"/>
      <c r="R777" s="408"/>
      <c r="S777" s="408"/>
      <c r="T777" s="408"/>
      <c r="U777" s="408">
        <v>513000</v>
      </c>
      <c r="V777" s="408"/>
      <c r="W777" s="408"/>
      <c r="X777" s="408"/>
      <c r="Y777" s="408"/>
      <c r="Z777" s="408"/>
      <c r="AA777" s="408">
        <f t="shared" si="91"/>
        <v>513000</v>
      </c>
    </row>
    <row r="778" spans="1:27" s="30" customFormat="1" ht="15.75">
      <c r="A778" s="538">
        <v>100203</v>
      </c>
      <c r="B778" s="538" t="s">
        <v>851</v>
      </c>
      <c r="C778" s="195"/>
      <c r="D778" s="136" t="s">
        <v>1597</v>
      </c>
      <c r="E778" s="137"/>
      <c r="F778" s="159"/>
      <c r="G778" s="137"/>
      <c r="H778" s="417"/>
      <c r="I778" s="139">
        <f>I787+I788+I789</f>
        <v>61571.6</v>
      </c>
      <c r="J778" s="139">
        <f>J787+J788+J789</f>
        <v>0</v>
      </c>
      <c r="K778" s="139">
        <f>K787+K788+K789</f>
        <v>0</v>
      </c>
      <c r="L778" s="139">
        <f>L787+L788+L789</f>
        <v>14071.6</v>
      </c>
      <c r="M778" s="139">
        <f>M787+M788+M789</f>
        <v>47500</v>
      </c>
      <c r="N778" s="139">
        <f aca="true" t="shared" si="101" ref="N778:Z778">N787+N788+N789</f>
        <v>0</v>
      </c>
      <c r="O778" s="139">
        <f t="shared" si="101"/>
        <v>14071.6</v>
      </c>
      <c r="P778" s="139">
        <f t="shared" si="101"/>
        <v>0</v>
      </c>
      <c r="Q778" s="139">
        <f t="shared" si="101"/>
        <v>0</v>
      </c>
      <c r="R778" s="139">
        <f t="shared" si="101"/>
        <v>47500</v>
      </c>
      <c r="S778" s="139">
        <f t="shared" si="101"/>
        <v>0</v>
      </c>
      <c r="T778" s="139">
        <f t="shared" si="101"/>
        <v>0</v>
      </c>
      <c r="U778" s="139">
        <f t="shared" si="101"/>
        <v>0</v>
      </c>
      <c r="V778" s="139">
        <f t="shared" si="101"/>
        <v>0</v>
      </c>
      <c r="W778" s="139">
        <f t="shared" si="101"/>
        <v>0</v>
      </c>
      <c r="X778" s="139">
        <f t="shared" si="101"/>
        <v>0</v>
      </c>
      <c r="Y778" s="139">
        <f t="shared" si="101"/>
        <v>0</v>
      </c>
      <c r="Z778" s="139">
        <f t="shared" si="101"/>
        <v>14071.6</v>
      </c>
      <c r="AA778" s="408">
        <f t="shared" si="91"/>
        <v>47500</v>
      </c>
    </row>
    <row r="779" spans="1:27" ht="78.75" customHeight="1" hidden="1">
      <c r="A779" s="512"/>
      <c r="B779" s="512"/>
      <c r="C779" s="135" t="s">
        <v>944</v>
      </c>
      <c r="D779" s="83" t="s">
        <v>139</v>
      </c>
      <c r="E779" s="142"/>
      <c r="F779" s="143"/>
      <c r="G779" s="142"/>
      <c r="H779" s="418"/>
      <c r="I779" s="144" t="e">
        <f>J779+K779+L779+M779+#REF!+#REF!</f>
        <v>#REF!</v>
      </c>
      <c r="J779" s="144"/>
      <c r="K779" s="144"/>
      <c r="L779" s="49"/>
      <c r="M779" s="144"/>
      <c r="N779" s="408"/>
      <c r="O779" s="408"/>
      <c r="P779" s="408"/>
      <c r="Q779" s="408"/>
      <c r="R779" s="408"/>
      <c r="S779" s="408"/>
      <c r="T779" s="408"/>
      <c r="U779" s="408"/>
      <c r="V779" s="408"/>
      <c r="W779" s="408"/>
      <c r="X779" s="408"/>
      <c r="Y779" s="408"/>
      <c r="Z779" s="408"/>
      <c r="AA779" s="408">
        <f t="shared" si="91"/>
        <v>0</v>
      </c>
    </row>
    <row r="780" spans="1:27" ht="31.5" hidden="1">
      <c r="A780" s="512"/>
      <c r="B780" s="512"/>
      <c r="C780" s="135" t="s">
        <v>945</v>
      </c>
      <c r="D780" s="83" t="s">
        <v>587</v>
      </c>
      <c r="E780" s="142"/>
      <c r="F780" s="143"/>
      <c r="G780" s="142"/>
      <c r="H780" s="418"/>
      <c r="I780" s="144" t="e">
        <f>J780+K780+L780+M780+#REF!+#REF!</f>
        <v>#REF!</v>
      </c>
      <c r="J780" s="144"/>
      <c r="K780" s="144"/>
      <c r="L780" s="49"/>
      <c r="M780" s="144"/>
      <c r="N780" s="408"/>
      <c r="O780" s="408"/>
      <c r="P780" s="408"/>
      <c r="Q780" s="408"/>
      <c r="R780" s="408"/>
      <c r="S780" s="408"/>
      <c r="T780" s="408"/>
      <c r="U780" s="408"/>
      <c r="V780" s="408"/>
      <c r="W780" s="408"/>
      <c r="X780" s="408"/>
      <c r="Y780" s="408"/>
      <c r="Z780" s="408"/>
      <c r="AA780" s="408">
        <f t="shared" si="91"/>
        <v>0</v>
      </c>
    </row>
    <row r="781" spans="1:27" ht="31.5" customHeight="1" hidden="1">
      <c r="A781" s="512"/>
      <c r="B781" s="512"/>
      <c r="C781" s="135" t="s">
        <v>588</v>
      </c>
      <c r="D781" s="83" t="s">
        <v>589</v>
      </c>
      <c r="E781" s="142"/>
      <c r="F781" s="143"/>
      <c r="G781" s="142"/>
      <c r="H781" s="418"/>
      <c r="I781" s="144" t="e">
        <f>J781+K781+L781+M781+#REF!+#REF!</f>
        <v>#REF!</v>
      </c>
      <c r="J781" s="144"/>
      <c r="K781" s="144"/>
      <c r="L781" s="49"/>
      <c r="M781" s="144"/>
      <c r="N781" s="408"/>
      <c r="O781" s="408"/>
      <c r="P781" s="408"/>
      <c r="Q781" s="408"/>
      <c r="R781" s="408"/>
      <c r="S781" s="408"/>
      <c r="T781" s="408"/>
      <c r="U781" s="408"/>
      <c r="V781" s="408"/>
      <c r="W781" s="408"/>
      <c r="X781" s="408"/>
      <c r="Y781" s="408"/>
      <c r="Z781" s="408"/>
      <c r="AA781" s="408">
        <f t="shared" si="91"/>
        <v>0</v>
      </c>
    </row>
    <row r="782" spans="1:27" ht="15.75" customHeight="1" hidden="1">
      <c r="A782" s="512"/>
      <c r="B782" s="512"/>
      <c r="C782" s="135" t="s">
        <v>590</v>
      </c>
      <c r="D782" s="141" t="s">
        <v>591</v>
      </c>
      <c r="E782" s="142"/>
      <c r="F782" s="143"/>
      <c r="G782" s="142"/>
      <c r="H782" s="418"/>
      <c r="I782" s="144" t="e">
        <f>J782+K782+L782+M782+#REF!+#REF!</f>
        <v>#REF!</v>
      </c>
      <c r="J782" s="144"/>
      <c r="K782" s="144"/>
      <c r="L782" s="144"/>
      <c r="M782" s="144"/>
      <c r="N782" s="408"/>
      <c r="O782" s="408"/>
      <c r="P782" s="408"/>
      <c r="Q782" s="408"/>
      <c r="R782" s="408"/>
      <c r="S782" s="408"/>
      <c r="T782" s="408"/>
      <c r="U782" s="408"/>
      <c r="V782" s="408"/>
      <c r="W782" s="408"/>
      <c r="X782" s="408"/>
      <c r="Y782" s="408"/>
      <c r="Z782" s="408"/>
      <c r="AA782" s="408">
        <f t="shared" si="91"/>
        <v>0</v>
      </c>
    </row>
    <row r="783" spans="1:27" ht="31.5" customHeight="1" hidden="1">
      <c r="A783" s="512"/>
      <c r="B783" s="512"/>
      <c r="C783" s="135" t="s">
        <v>592</v>
      </c>
      <c r="D783" s="14" t="s">
        <v>593</v>
      </c>
      <c r="E783" s="142"/>
      <c r="F783" s="143" t="e">
        <f>100%-((E783-G783)/E783)</f>
        <v>#DIV/0!</v>
      </c>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31.5" customHeight="1" hidden="1">
      <c r="A784" s="512"/>
      <c r="B784" s="512"/>
      <c r="C784" s="135" t="s">
        <v>594</v>
      </c>
      <c r="D784" s="14" t="s">
        <v>595</v>
      </c>
      <c r="E784" s="142"/>
      <c r="F784" s="143" t="e">
        <f>100%-((E784-G784)/E784)</f>
        <v>#DIV/0!</v>
      </c>
      <c r="G784" s="142"/>
      <c r="H784" s="418"/>
      <c r="I784" s="144" t="e">
        <f>J784+K784+L784+M784+#REF!+#REF!</f>
        <v>#REF!</v>
      </c>
      <c r="J784" s="144"/>
      <c r="K784" s="144"/>
      <c r="L784" s="85"/>
      <c r="M784" s="144"/>
      <c r="N784" s="408"/>
      <c r="O784" s="408"/>
      <c r="P784" s="408"/>
      <c r="Q784" s="408"/>
      <c r="R784" s="408"/>
      <c r="S784" s="408"/>
      <c r="T784" s="408"/>
      <c r="U784" s="408"/>
      <c r="V784" s="408"/>
      <c r="W784" s="408"/>
      <c r="X784" s="408"/>
      <c r="Y784" s="408"/>
      <c r="Z784" s="408"/>
      <c r="AA784" s="408">
        <f t="shared" si="91"/>
        <v>0</v>
      </c>
    </row>
    <row r="785" spans="1:27" ht="31.5" hidden="1">
      <c r="A785" s="594"/>
      <c r="B785" s="594"/>
      <c r="C785" s="135" t="s">
        <v>596</v>
      </c>
      <c r="D785" s="14" t="s">
        <v>597</v>
      </c>
      <c r="E785" s="142">
        <v>685</v>
      </c>
      <c r="F785" s="143">
        <v>1</v>
      </c>
      <c r="G785" s="142">
        <v>685</v>
      </c>
      <c r="H785" s="418"/>
      <c r="I785" s="144" t="e">
        <f>J785+K785+L785+M785+#REF!+#REF!</f>
        <v>#REF!</v>
      </c>
      <c r="J785" s="144"/>
      <c r="K785" s="144"/>
      <c r="L785" s="85"/>
      <c r="M785" s="144"/>
      <c r="N785" s="408"/>
      <c r="O785" s="408"/>
      <c r="P785" s="408"/>
      <c r="Q785" s="408"/>
      <c r="R785" s="408"/>
      <c r="S785" s="408"/>
      <c r="T785" s="408"/>
      <c r="U785" s="408"/>
      <c r="V785" s="408"/>
      <c r="W785" s="408"/>
      <c r="X785" s="408"/>
      <c r="Y785" s="408"/>
      <c r="Z785" s="408"/>
      <c r="AA785" s="408">
        <f t="shared" si="91"/>
        <v>0</v>
      </c>
    </row>
    <row r="786" spans="1:27" ht="18.75" customHeight="1" hidden="1">
      <c r="A786" s="594"/>
      <c r="B786" s="594"/>
      <c r="C786" s="135"/>
      <c r="D786" s="14" t="s">
        <v>598</v>
      </c>
      <c r="E786" s="142"/>
      <c r="F786" s="143"/>
      <c r="G786" s="142"/>
      <c r="H786" s="418"/>
      <c r="I786" s="144" t="e">
        <f>J786+K786+L786+M786+#REF!+#REF!</f>
        <v>#REF!</v>
      </c>
      <c r="J786" s="144"/>
      <c r="K786" s="144"/>
      <c r="L786" s="85"/>
      <c r="M786" s="144"/>
      <c r="N786" s="408"/>
      <c r="O786" s="408"/>
      <c r="P786" s="408"/>
      <c r="Q786" s="408"/>
      <c r="R786" s="408"/>
      <c r="S786" s="408"/>
      <c r="T786" s="408"/>
      <c r="U786" s="408"/>
      <c r="V786" s="408"/>
      <c r="W786" s="408"/>
      <c r="X786" s="408"/>
      <c r="Y786" s="408"/>
      <c r="Z786" s="408"/>
      <c r="AA786" s="408">
        <f t="shared" si="91"/>
        <v>0</v>
      </c>
    </row>
    <row r="787" spans="1:27" ht="47.25">
      <c r="A787" s="594"/>
      <c r="B787" s="594"/>
      <c r="C787" s="135"/>
      <c r="D787" s="14" t="s">
        <v>993</v>
      </c>
      <c r="E787" s="142">
        <v>990</v>
      </c>
      <c r="F787" s="143">
        <v>1</v>
      </c>
      <c r="G787" s="142">
        <v>900</v>
      </c>
      <c r="H787" s="418">
        <v>3132</v>
      </c>
      <c r="I787" s="144">
        <v>14071.6</v>
      </c>
      <c r="J787" s="144"/>
      <c r="K787" s="144"/>
      <c r="L787" s="85">
        <v>14071.6</v>
      </c>
      <c r="M787" s="144"/>
      <c r="N787" s="408"/>
      <c r="O787" s="144">
        <v>14071.6</v>
      </c>
      <c r="P787" s="408"/>
      <c r="Q787" s="408"/>
      <c r="R787" s="408"/>
      <c r="S787" s="408"/>
      <c r="T787" s="408"/>
      <c r="U787" s="408"/>
      <c r="V787" s="408"/>
      <c r="W787" s="408"/>
      <c r="X787" s="408"/>
      <c r="Y787" s="408"/>
      <c r="Z787" s="144">
        <v>14071.6</v>
      </c>
      <c r="AA787" s="408">
        <f t="shared" si="91"/>
        <v>0</v>
      </c>
    </row>
    <row r="788" spans="1:27" s="362" customFormat="1" ht="47.25">
      <c r="A788" s="594"/>
      <c r="B788" s="594"/>
      <c r="C788" s="135"/>
      <c r="D788" s="14" t="s">
        <v>706</v>
      </c>
      <c r="E788" s="142"/>
      <c r="F788" s="143"/>
      <c r="G788" s="142"/>
      <c r="H788" s="418">
        <v>3132</v>
      </c>
      <c r="I788" s="144">
        <v>11500</v>
      </c>
      <c r="J788" s="144"/>
      <c r="K788" s="144"/>
      <c r="L788" s="76"/>
      <c r="M788" s="76">
        <v>11500</v>
      </c>
      <c r="N788" s="408"/>
      <c r="O788" s="408"/>
      <c r="P788" s="408"/>
      <c r="Q788" s="408"/>
      <c r="R788" s="76">
        <v>11500</v>
      </c>
      <c r="S788" s="408"/>
      <c r="T788" s="408"/>
      <c r="U788" s="408"/>
      <c r="V788" s="408"/>
      <c r="W788" s="408"/>
      <c r="X788" s="408"/>
      <c r="Y788" s="408"/>
      <c r="Z788" s="408"/>
      <c r="AA788" s="408">
        <f t="shared" si="91"/>
        <v>11500</v>
      </c>
    </row>
    <row r="789" spans="1:27" s="362" customFormat="1" ht="31.5">
      <c r="A789" s="594"/>
      <c r="B789" s="594"/>
      <c r="C789" s="135"/>
      <c r="D789" s="13" t="s">
        <v>707</v>
      </c>
      <c r="E789" s="142"/>
      <c r="F789" s="143"/>
      <c r="G789" s="142"/>
      <c r="H789" s="418">
        <v>3132</v>
      </c>
      <c r="I789" s="144">
        <v>36000</v>
      </c>
      <c r="J789" s="144"/>
      <c r="K789" s="144"/>
      <c r="L789" s="76"/>
      <c r="M789" s="76">
        <v>36000</v>
      </c>
      <c r="N789" s="408"/>
      <c r="O789" s="408"/>
      <c r="P789" s="408"/>
      <c r="Q789" s="408"/>
      <c r="R789" s="76">
        <v>36000</v>
      </c>
      <c r="S789" s="408"/>
      <c r="T789" s="408"/>
      <c r="U789" s="408"/>
      <c r="V789" s="408"/>
      <c r="W789" s="408"/>
      <c r="X789" s="408"/>
      <c r="Y789" s="408"/>
      <c r="Z789" s="408"/>
      <c r="AA789" s="408">
        <f t="shared" si="91"/>
        <v>36000</v>
      </c>
    </row>
    <row r="790" spans="1:27" s="30" customFormat="1" ht="15.75" hidden="1">
      <c r="A790" s="538">
        <v>110204</v>
      </c>
      <c r="B790" s="538" t="s">
        <v>1552</v>
      </c>
      <c r="C790" s="195"/>
      <c r="D790" s="71" t="s">
        <v>1597</v>
      </c>
      <c r="E790" s="137"/>
      <c r="F790" s="159"/>
      <c r="G790" s="137"/>
      <c r="H790" s="417"/>
      <c r="I790" s="139" t="e">
        <f>J790+K790+L790+M790+#REF!+#REF!</f>
        <v>#REF!</v>
      </c>
      <c r="J790" s="139">
        <f>J791</f>
        <v>0</v>
      </c>
      <c r="K790" s="139">
        <f>K791</f>
        <v>0</v>
      </c>
      <c r="L790" s="139">
        <f>L791</f>
        <v>0</v>
      </c>
      <c r="M790" s="139">
        <f>M791</f>
        <v>0</v>
      </c>
      <c r="N790" s="440"/>
      <c r="O790" s="440"/>
      <c r="P790" s="440"/>
      <c r="Q790" s="440"/>
      <c r="R790" s="440"/>
      <c r="S790" s="440"/>
      <c r="T790" s="440"/>
      <c r="U790" s="440"/>
      <c r="V790" s="440"/>
      <c r="W790" s="440"/>
      <c r="X790" s="440"/>
      <c r="Y790" s="440"/>
      <c r="Z790" s="440"/>
      <c r="AA790" s="408">
        <f t="shared" si="91"/>
        <v>0</v>
      </c>
    </row>
    <row r="791" spans="1:27" ht="31.5" hidden="1">
      <c r="A791" s="516"/>
      <c r="B791" s="516"/>
      <c r="C791" s="135" t="s">
        <v>995</v>
      </c>
      <c r="D791" s="14" t="s">
        <v>996</v>
      </c>
      <c r="E791" s="142">
        <v>200</v>
      </c>
      <c r="F791" s="143">
        <f>100%-((E791-G791)/E791)</f>
        <v>1</v>
      </c>
      <c r="G791" s="142">
        <v>200</v>
      </c>
      <c r="H791" s="418"/>
      <c r="I791" s="144" t="e">
        <f>J791+K791+L791+M791+#REF!+#REF!</f>
        <v>#REF!</v>
      </c>
      <c r="J791" s="144"/>
      <c r="K791" s="144"/>
      <c r="L791" s="85"/>
      <c r="M791" s="144"/>
      <c r="N791" s="408"/>
      <c r="O791" s="408"/>
      <c r="P791" s="408"/>
      <c r="Q791" s="408"/>
      <c r="R791" s="408"/>
      <c r="S791" s="408"/>
      <c r="T791" s="408"/>
      <c r="U791" s="408"/>
      <c r="V791" s="408"/>
      <c r="W791" s="408"/>
      <c r="X791" s="408"/>
      <c r="Y791" s="408"/>
      <c r="Z791" s="408"/>
      <c r="AA791" s="408">
        <f aca="true" t="shared" si="102" ref="AA791:AA854">N791+O791+P791+Q791+R791+S791+T791+U791-Z791</f>
        <v>0</v>
      </c>
    </row>
    <row r="792" spans="1:27" ht="15.75" hidden="1">
      <c r="A792" s="538">
        <v>110205</v>
      </c>
      <c r="B792" s="538" t="s">
        <v>1553</v>
      </c>
      <c r="C792" s="195"/>
      <c r="D792" s="71" t="s">
        <v>538</v>
      </c>
      <c r="E792" s="158"/>
      <c r="F792" s="159"/>
      <c r="G792" s="158"/>
      <c r="H792" s="420"/>
      <c r="I792" s="139" t="e">
        <f>J792+K792+L792+M792+#REF!+#REF!</f>
        <v>#REF!</v>
      </c>
      <c r="J792" s="462"/>
      <c r="K792" s="462"/>
      <c r="L792" s="139">
        <f>L793</f>
        <v>0</v>
      </c>
      <c r="M792" s="462"/>
      <c r="N792" s="408"/>
      <c r="O792" s="408"/>
      <c r="P792" s="408"/>
      <c r="Q792" s="408"/>
      <c r="R792" s="408"/>
      <c r="S792" s="408"/>
      <c r="T792" s="408"/>
      <c r="U792" s="408"/>
      <c r="V792" s="408"/>
      <c r="W792" s="408"/>
      <c r="X792" s="408"/>
      <c r="Y792" s="408"/>
      <c r="Z792" s="408"/>
      <c r="AA792" s="408">
        <f t="shared" si="102"/>
        <v>0</v>
      </c>
    </row>
    <row r="793" spans="1:27" ht="31.5" hidden="1">
      <c r="A793" s="516"/>
      <c r="B793" s="516"/>
      <c r="C793" s="135"/>
      <c r="D793" s="14" t="s">
        <v>997</v>
      </c>
      <c r="E793" s="142">
        <v>90</v>
      </c>
      <c r="F793" s="143">
        <f>100%-((E793-G793)/E793)</f>
        <v>1</v>
      </c>
      <c r="G793" s="142">
        <v>90</v>
      </c>
      <c r="H793" s="418"/>
      <c r="I793" s="144" t="e">
        <f>J793+K793+L793+M793+#REF!+#REF!</f>
        <v>#REF!</v>
      </c>
      <c r="J793" s="144"/>
      <c r="K793" s="144"/>
      <c r="L793" s="85"/>
      <c r="M793" s="144"/>
      <c r="N793" s="408"/>
      <c r="O793" s="408"/>
      <c r="P793" s="408"/>
      <c r="Q793" s="408"/>
      <c r="R793" s="408"/>
      <c r="S793" s="408"/>
      <c r="T793" s="408"/>
      <c r="U793" s="408"/>
      <c r="V793" s="408"/>
      <c r="W793" s="408"/>
      <c r="X793" s="408"/>
      <c r="Y793" s="408"/>
      <c r="Z793" s="408"/>
      <c r="AA793" s="408">
        <f t="shared" si="102"/>
        <v>0</v>
      </c>
    </row>
    <row r="794" spans="1:27" ht="15.75" customHeight="1">
      <c r="A794" s="538">
        <v>130110</v>
      </c>
      <c r="B794" s="538" t="s">
        <v>1089</v>
      </c>
      <c r="C794" s="195"/>
      <c r="D794" s="71" t="s">
        <v>1597</v>
      </c>
      <c r="E794" s="158"/>
      <c r="F794" s="159"/>
      <c r="G794" s="158"/>
      <c r="H794" s="420"/>
      <c r="I794" s="139">
        <f aca="true" t="shared" si="103" ref="I794:Z794">SUM(I795:I797)</f>
        <v>122966.14</v>
      </c>
      <c r="J794" s="139">
        <f t="shared" si="103"/>
        <v>0</v>
      </c>
      <c r="K794" s="139">
        <f t="shared" si="103"/>
        <v>0</v>
      </c>
      <c r="L794" s="139">
        <f t="shared" si="103"/>
        <v>20966.14</v>
      </c>
      <c r="M794" s="139">
        <f t="shared" si="103"/>
        <v>102000</v>
      </c>
      <c r="N794" s="139">
        <f t="shared" si="103"/>
        <v>0</v>
      </c>
      <c r="O794" s="139">
        <f t="shared" si="103"/>
        <v>20966.14</v>
      </c>
      <c r="P794" s="139">
        <f t="shared" si="103"/>
        <v>0</v>
      </c>
      <c r="Q794" s="139">
        <f t="shared" si="103"/>
        <v>0</v>
      </c>
      <c r="R794" s="139">
        <f t="shared" si="103"/>
        <v>0</v>
      </c>
      <c r="S794" s="139">
        <f t="shared" si="103"/>
        <v>102000</v>
      </c>
      <c r="T794" s="139">
        <f t="shared" si="103"/>
        <v>0</v>
      </c>
      <c r="U794" s="139">
        <f t="shared" si="103"/>
        <v>0</v>
      </c>
      <c r="V794" s="139">
        <f t="shared" si="103"/>
        <v>0</v>
      </c>
      <c r="W794" s="139">
        <f t="shared" si="103"/>
        <v>0</v>
      </c>
      <c r="X794" s="139">
        <f t="shared" si="103"/>
        <v>0</v>
      </c>
      <c r="Y794" s="139">
        <f t="shared" si="103"/>
        <v>0</v>
      </c>
      <c r="Z794" s="139">
        <f t="shared" si="103"/>
        <v>20966.14</v>
      </c>
      <c r="AA794" s="408">
        <f t="shared" si="102"/>
        <v>102000</v>
      </c>
    </row>
    <row r="795" spans="1:27" ht="47.25">
      <c r="A795" s="512"/>
      <c r="B795" s="512"/>
      <c r="C795" s="135"/>
      <c r="D795" s="14" t="s">
        <v>654</v>
      </c>
      <c r="E795" s="142">
        <v>500</v>
      </c>
      <c r="F795" s="143">
        <f>100%-((E795-G795)/E795)</f>
        <v>1</v>
      </c>
      <c r="G795" s="142">
        <v>500</v>
      </c>
      <c r="H795" s="418">
        <v>3132</v>
      </c>
      <c r="I795" s="144">
        <v>6957.49</v>
      </c>
      <c r="J795" s="144"/>
      <c r="K795" s="144"/>
      <c r="L795" s="85">
        <v>6957.49</v>
      </c>
      <c r="M795" s="144"/>
      <c r="N795" s="408"/>
      <c r="O795" s="144">
        <v>6957.49</v>
      </c>
      <c r="P795" s="408"/>
      <c r="Q795" s="408"/>
      <c r="R795" s="408"/>
      <c r="S795" s="408"/>
      <c r="T795" s="408"/>
      <c r="U795" s="408"/>
      <c r="V795" s="408"/>
      <c r="W795" s="408"/>
      <c r="X795" s="408"/>
      <c r="Y795" s="408"/>
      <c r="Z795" s="144">
        <v>6957.49</v>
      </c>
      <c r="AA795" s="408">
        <f t="shared" si="102"/>
        <v>0</v>
      </c>
    </row>
    <row r="796" spans="1:27" ht="47.25">
      <c r="A796" s="512"/>
      <c r="B796" s="512"/>
      <c r="C796" s="135"/>
      <c r="D796" s="14" t="s">
        <v>655</v>
      </c>
      <c r="E796" s="142">
        <v>950</v>
      </c>
      <c r="F796" s="143">
        <f>100%-((E796-G796)/E796)</f>
        <v>1</v>
      </c>
      <c r="G796" s="142">
        <v>950</v>
      </c>
      <c r="H796" s="418">
        <v>3132</v>
      </c>
      <c r="I796" s="144">
        <v>14008.65</v>
      </c>
      <c r="J796" s="144"/>
      <c r="K796" s="144"/>
      <c r="L796" s="85">
        <v>14008.65</v>
      </c>
      <c r="M796" s="144"/>
      <c r="N796" s="408"/>
      <c r="O796" s="144">
        <v>14008.65</v>
      </c>
      <c r="P796" s="408"/>
      <c r="Q796" s="408"/>
      <c r="R796" s="408"/>
      <c r="S796" s="408"/>
      <c r="T796" s="408"/>
      <c r="U796" s="408"/>
      <c r="V796" s="408"/>
      <c r="W796" s="408"/>
      <c r="X796" s="408"/>
      <c r="Y796" s="408"/>
      <c r="Z796" s="144">
        <v>14008.65</v>
      </c>
      <c r="AA796" s="408">
        <f t="shared" si="102"/>
        <v>0</v>
      </c>
    </row>
    <row r="797" spans="1:27" s="45" customFormat="1" ht="31.5">
      <c r="A797" s="516"/>
      <c r="B797" s="516"/>
      <c r="C797" s="135"/>
      <c r="D797" s="14" t="s">
        <v>1105</v>
      </c>
      <c r="E797" s="142"/>
      <c r="F797" s="143"/>
      <c r="G797" s="142"/>
      <c r="H797" s="418">
        <v>3132</v>
      </c>
      <c r="I797" s="144">
        <v>102000</v>
      </c>
      <c r="J797" s="144"/>
      <c r="K797" s="144"/>
      <c r="L797" s="85"/>
      <c r="M797" s="144">
        <v>102000</v>
      </c>
      <c r="N797" s="408"/>
      <c r="O797" s="408"/>
      <c r="P797" s="408"/>
      <c r="Q797" s="408"/>
      <c r="R797" s="408"/>
      <c r="S797" s="408">
        <v>102000</v>
      </c>
      <c r="T797" s="408"/>
      <c r="U797" s="408"/>
      <c r="V797" s="408"/>
      <c r="W797" s="408"/>
      <c r="X797" s="408"/>
      <c r="Y797" s="408"/>
      <c r="Z797" s="408"/>
      <c r="AA797" s="408">
        <f t="shared" si="102"/>
        <v>102000</v>
      </c>
    </row>
    <row r="798" spans="1:61" s="28" customFormat="1" ht="15.75">
      <c r="A798" s="568">
        <v>150101</v>
      </c>
      <c r="B798" s="568" t="s">
        <v>1091</v>
      </c>
      <c r="C798" s="195"/>
      <c r="D798" s="216" t="s">
        <v>1597</v>
      </c>
      <c r="E798" s="303"/>
      <c r="F798" s="159"/>
      <c r="G798" s="303"/>
      <c r="H798" s="430"/>
      <c r="I798" s="304">
        <f>SUM(I800:I929)</f>
        <v>38124642.96</v>
      </c>
      <c r="J798" s="304">
        <f>SUM(J800:J929)</f>
        <v>0</v>
      </c>
      <c r="K798" s="304">
        <f>SUM(K800:K929)</f>
        <v>0</v>
      </c>
      <c r="L798" s="304">
        <f>SUM(L800:L929)</f>
        <v>247956.65</v>
      </c>
      <c r="M798" s="304">
        <f>SUM(M800:M929)</f>
        <v>37830386.31</v>
      </c>
      <c r="N798" s="304">
        <f aca="true" t="shared" si="104" ref="N798:Z798">SUM(N800:N929)</f>
        <v>0</v>
      </c>
      <c r="O798" s="304">
        <f t="shared" si="104"/>
        <v>247956.65</v>
      </c>
      <c r="P798" s="304">
        <f t="shared" si="104"/>
        <v>0</v>
      </c>
      <c r="Q798" s="304">
        <f t="shared" si="104"/>
        <v>248642.64</v>
      </c>
      <c r="R798" s="304">
        <f t="shared" si="104"/>
        <v>9833623.6</v>
      </c>
      <c r="S798" s="304">
        <f t="shared" si="104"/>
        <v>5412000</v>
      </c>
      <c r="T798" s="304">
        <f t="shared" si="104"/>
        <v>6980508.99</v>
      </c>
      <c r="U798" s="304">
        <f t="shared" si="104"/>
        <v>8380252.08</v>
      </c>
      <c r="V798" s="304">
        <f t="shared" si="104"/>
        <v>2411659</v>
      </c>
      <c r="W798" s="304">
        <f t="shared" si="104"/>
        <v>1435000</v>
      </c>
      <c r="X798" s="304">
        <f t="shared" si="104"/>
        <v>902500</v>
      </c>
      <c r="Y798" s="304">
        <f t="shared" si="104"/>
        <v>2272500</v>
      </c>
      <c r="Z798" s="304">
        <f t="shared" si="104"/>
        <v>3189600.65</v>
      </c>
      <c r="AA798" s="408">
        <f t="shared" si="102"/>
        <v>27913383.31</v>
      </c>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row>
    <row r="799" spans="1:27" s="45" customFormat="1" ht="31.5" customHeight="1" hidden="1">
      <c r="A799" s="569"/>
      <c r="B799" s="569"/>
      <c r="C799" s="306" t="s">
        <v>656</v>
      </c>
      <c r="D799" s="141" t="s">
        <v>1483</v>
      </c>
      <c r="E799" s="292">
        <v>180</v>
      </c>
      <c r="F799" s="143">
        <f aca="true" t="shared" si="105" ref="F799:F805">100%-((E799-G799)/E799)</f>
        <v>1</v>
      </c>
      <c r="G799" s="292">
        <v>180</v>
      </c>
      <c r="H799" s="428"/>
      <c r="I799" s="307" t="e">
        <f>J799+K799+L799+M799+#REF!+#REF!</f>
        <v>#REF!</v>
      </c>
      <c r="J799" s="307"/>
      <c r="K799" s="307"/>
      <c r="L799" s="307">
        <f>180-180</f>
        <v>0</v>
      </c>
      <c r="M799" s="307"/>
      <c r="N799" s="408"/>
      <c r="O799" s="408"/>
      <c r="P799" s="408"/>
      <c r="Q799" s="408"/>
      <c r="R799" s="408"/>
      <c r="S799" s="408"/>
      <c r="T799" s="408"/>
      <c r="U799" s="408"/>
      <c r="V799" s="408"/>
      <c r="W799" s="408"/>
      <c r="X799" s="408"/>
      <c r="Y799" s="408"/>
      <c r="Z799" s="408"/>
      <c r="AA799" s="408">
        <f t="shared" si="102"/>
        <v>0</v>
      </c>
    </row>
    <row r="800" spans="1:27" s="45" customFormat="1" ht="63">
      <c r="A800" s="569"/>
      <c r="B800" s="569"/>
      <c r="C800" s="306" t="s">
        <v>1484</v>
      </c>
      <c r="D800" s="141" t="s">
        <v>237</v>
      </c>
      <c r="E800" s="292">
        <v>2300</v>
      </c>
      <c r="F800" s="143">
        <f t="shared" si="105"/>
        <v>1</v>
      </c>
      <c r="G800" s="292">
        <v>2300</v>
      </c>
      <c r="H800" s="428">
        <v>3142</v>
      </c>
      <c r="I800" s="307">
        <v>114452.1</v>
      </c>
      <c r="J800" s="307"/>
      <c r="K800" s="307"/>
      <c r="L800" s="307">
        <v>114452.1</v>
      </c>
      <c r="M800" s="307"/>
      <c r="N800" s="408"/>
      <c r="O800" s="307">
        <v>114452.1</v>
      </c>
      <c r="P800" s="408"/>
      <c r="Q800" s="408"/>
      <c r="R800" s="408"/>
      <c r="S800" s="408"/>
      <c r="T800" s="408"/>
      <c r="U800" s="408"/>
      <c r="V800" s="408"/>
      <c r="W800" s="408"/>
      <c r="X800" s="408"/>
      <c r="Y800" s="408"/>
      <c r="Z800" s="307">
        <v>114452.1</v>
      </c>
      <c r="AA800" s="408">
        <f t="shared" si="102"/>
        <v>0</v>
      </c>
    </row>
    <row r="801" spans="1:27" s="40" customFormat="1" ht="31.5" customHeight="1" hidden="1">
      <c r="A801" s="569"/>
      <c r="B801" s="569"/>
      <c r="C801" s="310"/>
      <c r="D801" s="14" t="s">
        <v>997</v>
      </c>
      <c r="E801" s="292">
        <v>90</v>
      </c>
      <c r="F801" s="143">
        <f t="shared" si="105"/>
        <v>1</v>
      </c>
      <c r="G801" s="292">
        <v>90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2"/>
        <v>0</v>
      </c>
    </row>
    <row r="802" spans="1:27" s="40" customFormat="1" ht="47.25" hidden="1">
      <c r="A802" s="569"/>
      <c r="B802" s="569"/>
      <c r="C802" s="310"/>
      <c r="D802" s="14" t="s">
        <v>294</v>
      </c>
      <c r="E802" s="292">
        <v>90</v>
      </c>
      <c r="F802" s="143">
        <f t="shared" si="105"/>
        <v>1</v>
      </c>
      <c r="G802" s="292">
        <v>90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2"/>
        <v>0</v>
      </c>
    </row>
    <row r="803" spans="1:27" s="40" customFormat="1" ht="31.5" hidden="1">
      <c r="A803" s="569"/>
      <c r="B803" s="569"/>
      <c r="C803" s="310"/>
      <c r="D803" s="14" t="s">
        <v>295</v>
      </c>
      <c r="E803" s="292">
        <v>110</v>
      </c>
      <c r="F803" s="143">
        <f t="shared" si="105"/>
        <v>1</v>
      </c>
      <c r="G803" s="292">
        <v>110</v>
      </c>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2"/>
        <v>0</v>
      </c>
    </row>
    <row r="804" spans="1:27" ht="31.5" hidden="1">
      <c r="A804" s="569"/>
      <c r="B804" s="569"/>
      <c r="C804" s="306" t="s">
        <v>296</v>
      </c>
      <c r="D804" s="141" t="s">
        <v>297</v>
      </c>
      <c r="E804" s="292">
        <v>20</v>
      </c>
      <c r="F804" s="143">
        <f t="shared" si="105"/>
        <v>1</v>
      </c>
      <c r="G804" s="292">
        <v>20</v>
      </c>
      <c r="H804" s="428">
        <v>3142</v>
      </c>
      <c r="I804" s="307">
        <v>0</v>
      </c>
      <c r="J804" s="307"/>
      <c r="K804" s="307"/>
      <c r="L804" s="307"/>
      <c r="M804" s="307"/>
      <c r="N804" s="408"/>
      <c r="O804" s="307">
        <v>0</v>
      </c>
      <c r="P804" s="408"/>
      <c r="Q804" s="408"/>
      <c r="R804" s="408"/>
      <c r="S804" s="408"/>
      <c r="T804" s="408"/>
      <c r="U804" s="408"/>
      <c r="V804" s="408"/>
      <c r="W804" s="408"/>
      <c r="X804" s="408"/>
      <c r="Y804" s="408"/>
      <c r="Z804" s="307">
        <v>0</v>
      </c>
      <c r="AA804" s="408">
        <f t="shared" si="102"/>
        <v>0</v>
      </c>
    </row>
    <row r="805" spans="1:27" ht="31.5" hidden="1">
      <c r="A805" s="569"/>
      <c r="B805" s="569"/>
      <c r="C805" s="306" t="s">
        <v>298</v>
      </c>
      <c r="D805" s="141" t="s">
        <v>299</v>
      </c>
      <c r="E805" s="292">
        <v>300</v>
      </c>
      <c r="F805" s="143">
        <f t="shared" si="105"/>
        <v>1</v>
      </c>
      <c r="G805" s="292">
        <v>300</v>
      </c>
      <c r="H805" s="428">
        <v>3142</v>
      </c>
      <c r="I805" s="307">
        <v>0</v>
      </c>
      <c r="J805" s="307"/>
      <c r="K805" s="307"/>
      <c r="L805" s="307"/>
      <c r="M805" s="307"/>
      <c r="N805" s="408"/>
      <c r="O805" s="307">
        <v>0</v>
      </c>
      <c r="P805" s="408"/>
      <c r="Q805" s="408"/>
      <c r="R805" s="408"/>
      <c r="S805" s="408"/>
      <c r="T805" s="408"/>
      <c r="U805" s="408"/>
      <c r="V805" s="408"/>
      <c r="W805" s="408"/>
      <c r="X805" s="408"/>
      <c r="Y805" s="408"/>
      <c r="Z805" s="307">
        <v>0</v>
      </c>
      <c r="AA805" s="408">
        <f t="shared" si="102"/>
        <v>0</v>
      </c>
    </row>
    <row r="806" spans="1:27" ht="47.25" hidden="1">
      <c r="A806" s="569"/>
      <c r="B806" s="569"/>
      <c r="C806" s="306"/>
      <c r="D806" s="141" t="s">
        <v>1108</v>
      </c>
      <c r="E806" s="292"/>
      <c r="F806" s="143"/>
      <c r="G806" s="292"/>
      <c r="H806" s="428">
        <v>3142</v>
      </c>
      <c r="I806" s="307">
        <v>0</v>
      </c>
      <c r="J806" s="307"/>
      <c r="K806" s="307"/>
      <c r="L806" s="307"/>
      <c r="M806" s="307"/>
      <c r="N806" s="408"/>
      <c r="O806" s="307">
        <v>0</v>
      </c>
      <c r="P806" s="408"/>
      <c r="Q806" s="408"/>
      <c r="R806" s="408"/>
      <c r="S806" s="408"/>
      <c r="T806" s="408"/>
      <c r="U806" s="408"/>
      <c r="V806" s="408"/>
      <c r="W806" s="408"/>
      <c r="X806" s="408"/>
      <c r="Y806" s="408"/>
      <c r="Z806" s="307">
        <v>0</v>
      </c>
      <c r="AA806" s="408">
        <f t="shared" si="102"/>
        <v>0</v>
      </c>
    </row>
    <row r="807" spans="1:27" ht="47.25">
      <c r="A807" s="569"/>
      <c r="B807" s="569"/>
      <c r="C807" s="306" t="s">
        <v>1109</v>
      </c>
      <c r="D807" s="217" t="s">
        <v>431</v>
      </c>
      <c r="E807" s="292">
        <v>355</v>
      </c>
      <c r="F807" s="143">
        <f aca="true" t="shared" si="106" ref="F807:F820">100%-((E807-G807)/E807)</f>
        <v>1</v>
      </c>
      <c r="G807" s="292">
        <v>355</v>
      </c>
      <c r="H807" s="428">
        <v>3142</v>
      </c>
      <c r="I807" s="307">
        <v>32194.1</v>
      </c>
      <c r="J807" s="307"/>
      <c r="K807" s="307"/>
      <c r="L807" s="307">
        <v>32194.1</v>
      </c>
      <c r="M807" s="307"/>
      <c r="N807" s="408"/>
      <c r="O807" s="307">
        <v>32194.1</v>
      </c>
      <c r="P807" s="408"/>
      <c r="Q807" s="408"/>
      <c r="R807" s="408"/>
      <c r="S807" s="408"/>
      <c r="T807" s="408"/>
      <c r="U807" s="408"/>
      <c r="V807" s="408"/>
      <c r="W807" s="408"/>
      <c r="X807" s="408"/>
      <c r="Y807" s="408"/>
      <c r="Z807" s="307">
        <v>32194.1</v>
      </c>
      <c r="AA807" s="408">
        <f t="shared" si="102"/>
        <v>0</v>
      </c>
    </row>
    <row r="808" spans="1:27" ht="31.5" hidden="1">
      <c r="A808" s="569"/>
      <c r="B808" s="569"/>
      <c r="C808" s="266" t="s">
        <v>432</v>
      </c>
      <c r="D808" s="13" t="s">
        <v>433</v>
      </c>
      <c r="E808" s="292">
        <v>457.236</v>
      </c>
      <c r="F808" s="143">
        <f t="shared" si="106"/>
        <v>1</v>
      </c>
      <c r="G808" s="292">
        <v>457.236</v>
      </c>
      <c r="H808" s="428">
        <v>3142</v>
      </c>
      <c r="I808" s="307">
        <v>0</v>
      </c>
      <c r="J808" s="307"/>
      <c r="K808" s="307"/>
      <c r="L808" s="49"/>
      <c r="M808" s="307"/>
      <c r="N808" s="408"/>
      <c r="O808" s="307">
        <v>0</v>
      </c>
      <c r="P808" s="408"/>
      <c r="Q808" s="408"/>
      <c r="R808" s="408"/>
      <c r="S808" s="408"/>
      <c r="T808" s="408"/>
      <c r="U808" s="408"/>
      <c r="V808" s="408"/>
      <c r="W808" s="408"/>
      <c r="X808" s="408"/>
      <c r="Y808" s="408"/>
      <c r="Z808" s="307">
        <v>0</v>
      </c>
      <c r="AA808" s="408">
        <f t="shared" si="102"/>
        <v>0</v>
      </c>
    </row>
    <row r="809" spans="1:27" ht="47.25" hidden="1">
      <c r="A809" s="569"/>
      <c r="B809" s="569"/>
      <c r="C809" s="266" t="s">
        <v>434</v>
      </c>
      <c r="D809" s="311" t="s">
        <v>435</v>
      </c>
      <c r="E809" s="292">
        <v>100</v>
      </c>
      <c r="F809" s="143">
        <f t="shared" si="106"/>
        <v>1</v>
      </c>
      <c r="G809" s="292">
        <v>100</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2"/>
        <v>0</v>
      </c>
    </row>
    <row r="810" spans="1:27" ht="31.5" hidden="1">
      <c r="A810" s="569"/>
      <c r="B810" s="569"/>
      <c r="C810" s="266" t="s">
        <v>436</v>
      </c>
      <c r="D810" s="311" t="s">
        <v>437</v>
      </c>
      <c r="E810" s="292">
        <v>289.309</v>
      </c>
      <c r="F810" s="143">
        <f t="shared" si="106"/>
        <v>0.706</v>
      </c>
      <c r="G810" s="292">
        <v>204.32</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2"/>
        <v>0</v>
      </c>
    </row>
    <row r="811" spans="1:27" ht="31.5" hidden="1">
      <c r="A811" s="569"/>
      <c r="B811" s="569"/>
      <c r="C811" s="266" t="s">
        <v>866</v>
      </c>
      <c r="D811" s="311" t="s">
        <v>867</v>
      </c>
      <c r="E811" s="292">
        <v>213.18</v>
      </c>
      <c r="F811" s="143">
        <f t="shared" si="106"/>
        <v>0.677</v>
      </c>
      <c r="G811" s="292">
        <v>144.25</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2"/>
        <v>0</v>
      </c>
    </row>
    <row r="812" spans="1:27" ht="31.5" hidden="1">
      <c r="A812" s="569"/>
      <c r="B812" s="569"/>
      <c r="C812" s="266" t="s">
        <v>868</v>
      </c>
      <c r="D812" s="311" t="s">
        <v>831</v>
      </c>
      <c r="E812" s="292">
        <v>254.438</v>
      </c>
      <c r="F812" s="143">
        <f t="shared" si="106"/>
        <v>0.706</v>
      </c>
      <c r="G812" s="292">
        <v>179.68</v>
      </c>
      <c r="H812" s="428">
        <v>3142</v>
      </c>
      <c r="I812" s="307">
        <v>0</v>
      </c>
      <c r="J812" s="307"/>
      <c r="K812" s="307"/>
      <c r="L812" s="312"/>
      <c r="M812" s="307"/>
      <c r="N812" s="408"/>
      <c r="O812" s="307">
        <v>0</v>
      </c>
      <c r="P812" s="408"/>
      <c r="Q812" s="408"/>
      <c r="R812" s="408"/>
      <c r="S812" s="408"/>
      <c r="T812" s="408"/>
      <c r="U812" s="408"/>
      <c r="V812" s="408"/>
      <c r="W812" s="408"/>
      <c r="X812" s="408"/>
      <c r="Y812" s="408"/>
      <c r="Z812" s="307">
        <v>0</v>
      </c>
      <c r="AA812" s="408">
        <f t="shared" si="102"/>
        <v>0</v>
      </c>
    </row>
    <row r="813" spans="1:27" ht="31.5" hidden="1">
      <c r="A813" s="569"/>
      <c r="B813" s="569"/>
      <c r="C813" s="266" t="s">
        <v>832</v>
      </c>
      <c r="D813" s="311" t="s">
        <v>16</v>
      </c>
      <c r="E813" s="292">
        <v>284.646</v>
      </c>
      <c r="F813" s="143">
        <f t="shared" si="106"/>
        <v>0.706</v>
      </c>
      <c r="G813" s="292">
        <v>201.1</v>
      </c>
      <c r="H813" s="428">
        <v>3142</v>
      </c>
      <c r="I813" s="307">
        <v>0</v>
      </c>
      <c r="J813" s="307"/>
      <c r="K813" s="307"/>
      <c r="L813" s="312"/>
      <c r="M813" s="307"/>
      <c r="N813" s="408"/>
      <c r="O813" s="307">
        <v>0</v>
      </c>
      <c r="P813" s="408"/>
      <c r="Q813" s="408"/>
      <c r="R813" s="408"/>
      <c r="S813" s="408"/>
      <c r="T813" s="408"/>
      <c r="U813" s="408"/>
      <c r="V813" s="408"/>
      <c r="W813" s="408"/>
      <c r="X813" s="408"/>
      <c r="Y813" s="408"/>
      <c r="Z813" s="307">
        <v>0</v>
      </c>
      <c r="AA813" s="408">
        <f t="shared" si="102"/>
        <v>0</v>
      </c>
    </row>
    <row r="814" spans="1:27" ht="31.5" hidden="1">
      <c r="A814" s="569"/>
      <c r="B814" s="569"/>
      <c r="C814" s="266" t="s">
        <v>17</v>
      </c>
      <c r="D814" s="311" t="s">
        <v>784</v>
      </c>
      <c r="E814" s="292">
        <v>198.437</v>
      </c>
      <c r="F814" s="143">
        <f t="shared" si="106"/>
        <v>0.706</v>
      </c>
      <c r="G814" s="292">
        <v>140.1</v>
      </c>
      <c r="H814" s="428">
        <v>3142</v>
      </c>
      <c r="I814" s="307">
        <v>0</v>
      </c>
      <c r="J814" s="307"/>
      <c r="K814" s="307"/>
      <c r="L814" s="312"/>
      <c r="M814" s="307"/>
      <c r="N814" s="408"/>
      <c r="O814" s="307">
        <v>0</v>
      </c>
      <c r="P814" s="408"/>
      <c r="Q814" s="408"/>
      <c r="R814" s="408"/>
      <c r="S814" s="408"/>
      <c r="T814" s="408"/>
      <c r="U814" s="408"/>
      <c r="V814" s="408"/>
      <c r="W814" s="408"/>
      <c r="X814" s="408"/>
      <c r="Y814" s="408"/>
      <c r="Z814" s="307">
        <v>0</v>
      </c>
      <c r="AA814" s="408">
        <f t="shared" si="102"/>
        <v>0</v>
      </c>
    </row>
    <row r="815" spans="1:27" ht="31.5" hidden="1">
      <c r="A815" s="569"/>
      <c r="B815" s="569"/>
      <c r="C815" s="266" t="s">
        <v>785</v>
      </c>
      <c r="D815" s="311" t="s">
        <v>786</v>
      </c>
      <c r="E815" s="292">
        <v>200</v>
      </c>
      <c r="F815" s="143">
        <f t="shared" si="106"/>
        <v>1</v>
      </c>
      <c r="G815" s="292">
        <v>200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2"/>
        <v>0</v>
      </c>
    </row>
    <row r="816" spans="1:27" ht="31.5" hidden="1">
      <c r="A816" s="569"/>
      <c r="B816" s="569"/>
      <c r="C816" s="266" t="s">
        <v>787</v>
      </c>
      <c r="D816" s="311" t="s">
        <v>788</v>
      </c>
      <c r="E816" s="292">
        <v>200</v>
      </c>
      <c r="F816" s="143">
        <f t="shared" si="106"/>
        <v>1</v>
      </c>
      <c r="G816" s="292">
        <v>200</v>
      </c>
      <c r="H816" s="428">
        <v>3142</v>
      </c>
      <c r="I816" s="307">
        <v>0</v>
      </c>
      <c r="J816" s="307"/>
      <c r="K816" s="307"/>
      <c r="L816" s="313"/>
      <c r="M816" s="307"/>
      <c r="N816" s="408"/>
      <c r="O816" s="307">
        <v>0</v>
      </c>
      <c r="P816" s="408"/>
      <c r="Q816" s="408"/>
      <c r="R816" s="408"/>
      <c r="S816" s="408"/>
      <c r="T816" s="408"/>
      <c r="U816" s="408"/>
      <c r="V816" s="408"/>
      <c r="W816" s="408"/>
      <c r="X816" s="408"/>
      <c r="Y816" s="408"/>
      <c r="Z816" s="307">
        <v>0</v>
      </c>
      <c r="AA816" s="408">
        <f t="shared" si="102"/>
        <v>0</v>
      </c>
    </row>
    <row r="817" spans="1:27" ht="31.5" hidden="1">
      <c r="A817" s="569"/>
      <c r="B817" s="569"/>
      <c r="C817" s="266" t="s">
        <v>789</v>
      </c>
      <c r="D817" s="311" t="s">
        <v>790</v>
      </c>
      <c r="E817" s="292">
        <v>100</v>
      </c>
      <c r="F817" s="143">
        <f t="shared" si="106"/>
        <v>1</v>
      </c>
      <c r="G817" s="292">
        <v>100</v>
      </c>
      <c r="H817" s="428">
        <v>3142</v>
      </c>
      <c r="I817" s="307">
        <v>0</v>
      </c>
      <c r="J817" s="307"/>
      <c r="K817" s="307"/>
      <c r="L817" s="313"/>
      <c r="M817" s="307"/>
      <c r="N817" s="408"/>
      <c r="O817" s="307">
        <v>0</v>
      </c>
      <c r="P817" s="408"/>
      <c r="Q817" s="408"/>
      <c r="R817" s="408"/>
      <c r="S817" s="408"/>
      <c r="T817" s="408"/>
      <c r="U817" s="408"/>
      <c r="V817" s="408"/>
      <c r="W817" s="408"/>
      <c r="X817" s="408"/>
      <c r="Y817" s="408"/>
      <c r="Z817" s="307">
        <v>0</v>
      </c>
      <c r="AA817" s="408">
        <f t="shared" si="102"/>
        <v>0</v>
      </c>
    </row>
    <row r="818" spans="1:27" ht="31.5" hidden="1">
      <c r="A818" s="569"/>
      <c r="B818" s="569"/>
      <c r="C818" s="266" t="s">
        <v>791</v>
      </c>
      <c r="D818" s="311" t="s">
        <v>792</v>
      </c>
      <c r="E818" s="292">
        <v>260</v>
      </c>
      <c r="F818" s="143">
        <f t="shared" si="106"/>
        <v>1</v>
      </c>
      <c r="G818" s="292">
        <v>260</v>
      </c>
      <c r="H818" s="428">
        <v>3142</v>
      </c>
      <c r="I818" s="307">
        <v>0</v>
      </c>
      <c r="J818" s="307"/>
      <c r="K818" s="307"/>
      <c r="L818" s="313"/>
      <c r="M818" s="307"/>
      <c r="N818" s="408"/>
      <c r="O818" s="307">
        <v>0</v>
      </c>
      <c r="P818" s="408"/>
      <c r="Q818" s="408"/>
      <c r="R818" s="408"/>
      <c r="S818" s="408"/>
      <c r="T818" s="408"/>
      <c r="U818" s="408"/>
      <c r="V818" s="408"/>
      <c r="W818" s="408"/>
      <c r="X818" s="408"/>
      <c r="Y818" s="408"/>
      <c r="Z818" s="307">
        <v>0</v>
      </c>
      <c r="AA818" s="408">
        <f t="shared" si="102"/>
        <v>0</v>
      </c>
    </row>
    <row r="819" spans="1:27" ht="31.5" hidden="1">
      <c r="A819" s="569"/>
      <c r="B819" s="569"/>
      <c r="C819" s="266" t="s">
        <v>793</v>
      </c>
      <c r="D819" s="14" t="s">
        <v>794</v>
      </c>
      <c r="E819" s="292">
        <v>100</v>
      </c>
      <c r="F819" s="143">
        <f t="shared" si="106"/>
        <v>1</v>
      </c>
      <c r="G819" s="292">
        <v>100</v>
      </c>
      <c r="H819" s="428">
        <v>3142</v>
      </c>
      <c r="I819" s="307">
        <v>0</v>
      </c>
      <c r="J819" s="307"/>
      <c r="K819" s="307"/>
      <c r="L819" s="85"/>
      <c r="M819" s="307"/>
      <c r="N819" s="408"/>
      <c r="O819" s="307">
        <v>0</v>
      </c>
      <c r="P819" s="408"/>
      <c r="Q819" s="408"/>
      <c r="R819" s="408"/>
      <c r="S819" s="408"/>
      <c r="T819" s="408"/>
      <c r="U819" s="408"/>
      <c r="V819" s="408"/>
      <c r="W819" s="408"/>
      <c r="X819" s="408"/>
      <c r="Y819" s="408"/>
      <c r="Z819" s="307">
        <v>0</v>
      </c>
      <c r="AA819" s="408">
        <f t="shared" si="102"/>
        <v>0</v>
      </c>
    </row>
    <row r="820" spans="1:27" ht="31.5" hidden="1">
      <c r="A820" s="569"/>
      <c r="B820" s="569"/>
      <c r="C820" s="266" t="s">
        <v>404</v>
      </c>
      <c r="D820" s="14" t="s">
        <v>1259</v>
      </c>
      <c r="E820" s="292">
        <v>284.37655</v>
      </c>
      <c r="F820" s="143">
        <f t="shared" si="106"/>
        <v>0.7</v>
      </c>
      <c r="G820" s="292">
        <v>199.10343</v>
      </c>
      <c r="H820" s="428">
        <v>3142</v>
      </c>
      <c r="I820" s="307">
        <v>0</v>
      </c>
      <c r="J820" s="307"/>
      <c r="K820" s="307"/>
      <c r="L820" s="85"/>
      <c r="M820" s="307"/>
      <c r="N820" s="408"/>
      <c r="O820" s="307">
        <v>0</v>
      </c>
      <c r="P820" s="408"/>
      <c r="Q820" s="408"/>
      <c r="R820" s="408"/>
      <c r="S820" s="408"/>
      <c r="T820" s="408"/>
      <c r="U820" s="408"/>
      <c r="V820" s="408"/>
      <c r="W820" s="408"/>
      <c r="X820" s="408"/>
      <c r="Y820" s="408"/>
      <c r="Z820" s="307">
        <v>0</v>
      </c>
      <c r="AA820" s="408">
        <f t="shared" si="102"/>
        <v>0</v>
      </c>
    </row>
    <row r="821" spans="1:27" ht="31.5" hidden="1">
      <c r="A821" s="569"/>
      <c r="B821" s="569"/>
      <c r="C821" s="266" t="s">
        <v>1260</v>
      </c>
      <c r="D821" s="14" t="s">
        <v>1261</v>
      </c>
      <c r="E821" s="292"/>
      <c r="F821" s="143"/>
      <c r="G821" s="292"/>
      <c r="H821" s="428">
        <v>3142</v>
      </c>
      <c r="I821" s="307">
        <v>0</v>
      </c>
      <c r="J821" s="307"/>
      <c r="K821" s="307"/>
      <c r="L821" s="85"/>
      <c r="M821" s="307"/>
      <c r="N821" s="408"/>
      <c r="O821" s="307">
        <v>0</v>
      </c>
      <c r="P821" s="408"/>
      <c r="Q821" s="408"/>
      <c r="R821" s="408"/>
      <c r="S821" s="408"/>
      <c r="T821" s="408"/>
      <c r="U821" s="408"/>
      <c r="V821" s="408"/>
      <c r="W821" s="408"/>
      <c r="X821" s="408"/>
      <c r="Y821" s="408"/>
      <c r="Z821" s="307">
        <v>0</v>
      </c>
      <c r="AA821" s="408">
        <f t="shared" si="102"/>
        <v>0</v>
      </c>
    </row>
    <row r="822" spans="1:27" ht="31.5">
      <c r="A822" s="569"/>
      <c r="B822" s="569"/>
      <c r="C822" s="577" t="s">
        <v>1262</v>
      </c>
      <c r="D822" s="14" t="s">
        <v>1170</v>
      </c>
      <c r="E822" s="292">
        <v>51.5</v>
      </c>
      <c r="F822" s="143">
        <f aca="true" t="shared" si="107" ref="F822:F836">100%-((E822-G822)/E822)</f>
        <v>1</v>
      </c>
      <c r="G822" s="292">
        <v>51.5</v>
      </c>
      <c r="H822" s="428">
        <v>3142</v>
      </c>
      <c r="I822" s="307">
        <v>20822.76</v>
      </c>
      <c r="J822" s="307"/>
      <c r="K822" s="307"/>
      <c r="L822" s="85">
        <v>20822.76</v>
      </c>
      <c r="M822" s="307"/>
      <c r="N822" s="408"/>
      <c r="O822" s="307">
        <v>20822.76</v>
      </c>
      <c r="P822" s="408"/>
      <c r="Q822" s="408"/>
      <c r="R822" s="408"/>
      <c r="S822" s="408"/>
      <c r="T822" s="408"/>
      <c r="U822" s="408"/>
      <c r="V822" s="408"/>
      <c r="W822" s="408"/>
      <c r="X822" s="408"/>
      <c r="Y822" s="408"/>
      <c r="Z822" s="307">
        <v>20822.76</v>
      </c>
      <c r="AA822" s="408">
        <f t="shared" si="102"/>
        <v>0</v>
      </c>
    </row>
    <row r="823" spans="1:27" ht="15.75" customHeight="1" hidden="1">
      <c r="A823" s="569"/>
      <c r="B823" s="569"/>
      <c r="C823" s="578"/>
      <c r="D823" s="86" t="s">
        <v>1171</v>
      </c>
      <c r="E823" s="292">
        <v>13.36</v>
      </c>
      <c r="F823" s="143">
        <f t="shared" si="107"/>
        <v>1</v>
      </c>
      <c r="G823" s="292">
        <v>13.36</v>
      </c>
      <c r="H823" s="428">
        <v>3142</v>
      </c>
      <c r="I823" s="314">
        <v>0</v>
      </c>
      <c r="J823" s="314"/>
      <c r="K823" s="314"/>
      <c r="L823" s="87"/>
      <c r="M823" s="314"/>
      <c r="N823" s="408"/>
      <c r="O823" s="314">
        <v>0</v>
      </c>
      <c r="P823" s="408"/>
      <c r="Q823" s="408"/>
      <c r="R823" s="408"/>
      <c r="S823" s="408"/>
      <c r="T823" s="408"/>
      <c r="U823" s="408"/>
      <c r="V823" s="408"/>
      <c r="W823" s="408"/>
      <c r="X823" s="408"/>
      <c r="Y823" s="408"/>
      <c r="Z823" s="314">
        <v>0</v>
      </c>
      <c r="AA823" s="408">
        <f t="shared" si="102"/>
        <v>0</v>
      </c>
    </row>
    <row r="824" spans="1:27" ht="15.75" customHeight="1" hidden="1">
      <c r="A824" s="569"/>
      <c r="B824" s="569"/>
      <c r="C824" s="578"/>
      <c r="D824" s="86" t="s">
        <v>317</v>
      </c>
      <c r="E824" s="292">
        <v>12.64</v>
      </c>
      <c r="F824" s="143">
        <f t="shared" si="107"/>
        <v>1</v>
      </c>
      <c r="G824" s="292">
        <v>12.64</v>
      </c>
      <c r="H824" s="428">
        <v>3142</v>
      </c>
      <c r="I824" s="314">
        <v>0</v>
      </c>
      <c r="J824" s="314"/>
      <c r="K824" s="314"/>
      <c r="L824" s="87"/>
      <c r="M824" s="314"/>
      <c r="N824" s="408"/>
      <c r="O824" s="314">
        <v>0</v>
      </c>
      <c r="P824" s="408"/>
      <c r="Q824" s="408"/>
      <c r="R824" s="408"/>
      <c r="S824" s="408"/>
      <c r="T824" s="408"/>
      <c r="U824" s="408"/>
      <c r="V824" s="408"/>
      <c r="W824" s="408"/>
      <c r="X824" s="408"/>
      <c r="Y824" s="408"/>
      <c r="Z824" s="314">
        <v>0</v>
      </c>
      <c r="AA824" s="408">
        <f t="shared" si="102"/>
        <v>0</v>
      </c>
    </row>
    <row r="825" spans="1:27" ht="47.25" customHeight="1" hidden="1">
      <c r="A825" s="569"/>
      <c r="B825" s="569"/>
      <c r="C825" s="579"/>
      <c r="D825" s="86" t="s">
        <v>318</v>
      </c>
      <c r="E825" s="292">
        <v>25.5</v>
      </c>
      <c r="F825" s="143">
        <f t="shared" si="107"/>
        <v>1</v>
      </c>
      <c r="G825" s="292">
        <v>25.5</v>
      </c>
      <c r="H825" s="428">
        <v>3142</v>
      </c>
      <c r="I825" s="314">
        <v>0</v>
      </c>
      <c r="J825" s="314"/>
      <c r="K825" s="314"/>
      <c r="L825" s="87"/>
      <c r="M825" s="314"/>
      <c r="N825" s="408"/>
      <c r="O825" s="314">
        <v>0</v>
      </c>
      <c r="P825" s="408"/>
      <c r="Q825" s="408"/>
      <c r="R825" s="408"/>
      <c r="S825" s="408"/>
      <c r="T825" s="408"/>
      <c r="U825" s="408"/>
      <c r="V825" s="408"/>
      <c r="W825" s="408"/>
      <c r="X825" s="408"/>
      <c r="Y825" s="408"/>
      <c r="Z825" s="314">
        <v>0</v>
      </c>
      <c r="AA825" s="408">
        <f t="shared" si="102"/>
        <v>0</v>
      </c>
    </row>
    <row r="826" spans="1:27" ht="31.5" hidden="1">
      <c r="A826" s="569"/>
      <c r="B826" s="569"/>
      <c r="C826" s="266" t="s">
        <v>319</v>
      </c>
      <c r="D826" s="14" t="s">
        <v>1194</v>
      </c>
      <c r="E826" s="292">
        <v>800</v>
      </c>
      <c r="F826" s="143">
        <f t="shared" si="107"/>
        <v>1</v>
      </c>
      <c r="G826" s="292">
        <v>800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2"/>
        <v>0</v>
      </c>
    </row>
    <row r="827" spans="1:27" ht="15.75" hidden="1">
      <c r="A827" s="569"/>
      <c r="B827" s="569"/>
      <c r="C827" s="266" t="s">
        <v>1195</v>
      </c>
      <c r="D827" s="14" t="s">
        <v>1196</v>
      </c>
      <c r="E827" s="292">
        <v>273.7063</v>
      </c>
      <c r="F827" s="143">
        <f t="shared" si="107"/>
        <v>1</v>
      </c>
      <c r="G827" s="292">
        <v>273.7063</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2"/>
        <v>0</v>
      </c>
    </row>
    <row r="828" spans="1:27" ht="31.5" hidden="1">
      <c r="A828" s="569"/>
      <c r="B828" s="569"/>
      <c r="C828" s="266" t="s">
        <v>1197</v>
      </c>
      <c r="D828" s="14" t="s">
        <v>1198</v>
      </c>
      <c r="E828" s="292">
        <v>130</v>
      </c>
      <c r="F828" s="143">
        <f t="shared" si="107"/>
        <v>1</v>
      </c>
      <c r="G828" s="292">
        <v>130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2"/>
        <v>0</v>
      </c>
    </row>
    <row r="829" spans="1:27" ht="31.5" hidden="1">
      <c r="A829" s="569"/>
      <c r="B829" s="569"/>
      <c r="C829" s="266" t="s">
        <v>1212</v>
      </c>
      <c r="D829" s="14" t="s">
        <v>1183</v>
      </c>
      <c r="E829" s="292">
        <v>140</v>
      </c>
      <c r="F829" s="143">
        <f t="shared" si="107"/>
        <v>1</v>
      </c>
      <c r="G829" s="292">
        <v>140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2"/>
        <v>0</v>
      </c>
    </row>
    <row r="830" spans="1:27" ht="31.5" hidden="1">
      <c r="A830" s="569"/>
      <c r="B830" s="569"/>
      <c r="C830" s="266" t="s">
        <v>1184</v>
      </c>
      <c r="D830" s="14" t="s">
        <v>1185</v>
      </c>
      <c r="E830" s="292">
        <v>130</v>
      </c>
      <c r="F830" s="143">
        <f t="shared" si="107"/>
        <v>1</v>
      </c>
      <c r="G830" s="292">
        <v>130</v>
      </c>
      <c r="H830" s="428">
        <v>3142</v>
      </c>
      <c r="I830" s="307">
        <v>0</v>
      </c>
      <c r="J830" s="307"/>
      <c r="K830" s="307"/>
      <c r="L830" s="49"/>
      <c r="M830" s="307"/>
      <c r="N830" s="408"/>
      <c r="O830" s="307">
        <v>0</v>
      </c>
      <c r="P830" s="408"/>
      <c r="Q830" s="408"/>
      <c r="R830" s="408"/>
      <c r="S830" s="408"/>
      <c r="T830" s="408"/>
      <c r="U830" s="408"/>
      <c r="V830" s="408"/>
      <c r="W830" s="408"/>
      <c r="X830" s="408"/>
      <c r="Y830" s="408"/>
      <c r="Z830" s="307">
        <v>0</v>
      </c>
      <c r="AA830" s="408">
        <f t="shared" si="102"/>
        <v>0</v>
      </c>
    </row>
    <row r="831" spans="1:27" ht="31.5" hidden="1">
      <c r="A831" s="569"/>
      <c r="B831" s="569"/>
      <c r="C831" s="266" t="s">
        <v>1186</v>
      </c>
      <c r="D831" s="14" t="s">
        <v>795</v>
      </c>
      <c r="E831" s="292">
        <v>200</v>
      </c>
      <c r="F831" s="143">
        <f t="shared" si="107"/>
        <v>1</v>
      </c>
      <c r="G831" s="292">
        <v>200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2"/>
        <v>0</v>
      </c>
    </row>
    <row r="832" spans="1:27" ht="31.5" customHeight="1" hidden="1">
      <c r="A832" s="569"/>
      <c r="B832" s="569"/>
      <c r="C832" s="266" t="s">
        <v>796</v>
      </c>
      <c r="D832" s="14" t="s">
        <v>797</v>
      </c>
      <c r="E832" s="292">
        <v>2000</v>
      </c>
      <c r="F832" s="143">
        <f t="shared" si="107"/>
        <v>1</v>
      </c>
      <c r="G832" s="292">
        <v>2000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2"/>
        <v>0</v>
      </c>
    </row>
    <row r="833" spans="1:27" ht="31.5">
      <c r="A833" s="569"/>
      <c r="B833" s="569"/>
      <c r="C833" s="266" t="s">
        <v>798</v>
      </c>
      <c r="D833" s="14" t="s">
        <v>799</v>
      </c>
      <c r="E833" s="292">
        <v>35</v>
      </c>
      <c r="F833" s="143">
        <f t="shared" si="107"/>
        <v>1</v>
      </c>
      <c r="G833" s="292">
        <v>35</v>
      </c>
      <c r="H833" s="428">
        <v>3142</v>
      </c>
      <c r="I833" s="307">
        <v>1320</v>
      </c>
      <c r="J833" s="307"/>
      <c r="K833" s="307"/>
      <c r="L833" s="49">
        <v>1320</v>
      </c>
      <c r="M833" s="307"/>
      <c r="N833" s="408"/>
      <c r="O833" s="307">
        <v>1320</v>
      </c>
      <c r="P833" s="408"/>
      <c r="Q833" s="408"/>
      <c r="R833" s="408"/>
      <c r="S833" s="408"/>
      <c r="T833" s="408"/>
      <c r="U833" s="408"/>
      <c r="V833" s="408"/>
      <c r="W833" s="408"/>
      <c r="X833" s="408"/>
      <c r="Y833" s="408"/>
      <c r="Z833" s="307">
        <v>1320</v>
      </c>
      <c r="AA833" s="408">
        <f t="shared" si="102"/>
        <v>0</v>
      </c>
    </row>
    <row r="834" spans="1:27" ht="31.5" hidden="1">
      <c r="A834" s="569"/>
      <c r="B834" s="569"/>
      <c r="C834" s="266" t="s">
        <v>800</v>
      </c>
      <c r="D834" s="14" t="s">
        <v>801</v>
      </c>
      <c r="E834" s="292">
        <v>40</v>
      </c>
      <c r="F834" s="143">
        <f t="shared" si="107"/>
        <v>1</v>
      </c>
      <c r="G834" s="292">
        <v>40</v>
      </c>
      <c r="H834" s="428">
        <v>3142</v>
      </c>
      <c r="I834" s="307">
        <v>0</v>
      </c>
      <c r="J834" s="307"/>
      <c r="K834" s="307"/>
      <c r="L834" s="49"/>
      <c r="M834" s="307"/>
      <c r="N834" s="408"/>
      <c r="O834" s="307">
        <v>0</v>
      </c>
      <c r="P834" s="408"/>
      <c r="Q834" s="408"/>
      <c r="R834" s="408"/>
      <c r="S834" s="408"/>
      <c r="T834" s="408"/>
      <c r="U834" s="408"/>
      <c r="V834" s="408"/>
      <c r="W834" s="408"/>
      <c r="X834" s="408"/>
      <c r="Y834" s="408"/>
      <c r="Z834" s="307">
        <v>0</v>
      </c>
      <c r="AA834" s="408">
        <f t="shared" si="102"/>
        <v>0</v>
      </c>
    </row>
    <row r="835" spans="1:27" ht="31.5" hidden="1">
      <c r="A835" s="569"/>
      <c r="B835" s="569"/>
      <c r="C835" s="266" t="s">
        <v>802</v>
      </c>
      <c r="D835" s="14" t="s">
        <v>803</v>
      </c>
      <c r="E835" s="292">
        <v>1000</v>
      </c>
      <c r="F835" s="143">
        <f t="shared" si="107"/>
        <v>1</v>
      </c>
      <c r="G835" s="292">
        <v>1000</v>
      </c>
      <c r="H835" s="428">
        <v>3142</v>
      </c>
      <c r="I835" s="307">
        <v>0</v>
      </c>
      <c r="J835" s="307"/>
      <c r="K835" s="307"/>
      <c r="L835" s="49"/>
      <c r="M835" s="307"/>
      <c r="N835" s="408"/>
      <c r="O835" s="307">
        <v>0</v>
      </c>
      <c r="P835" s="408"/>
      <c r="Q835" s="408"/>
      <c r="R835" s="408"/>
      <c r="S835" s="408"/>
      <c r="T835" s="408"/>
      <c r="U835" s="408"/>
      <c r="V835" s="408"/>
      <c r="W835" s="408"/>
      <c r="X835" s="408"/>
      <c r="Y835" s="408"/>
      <c r="Z835" s="307">
        <v>0</v>
      </c>
      <c r="AA835" s="408">
        <f t="shared" si="102"/>
        <v>0</v>
      </c>
    </row>
    <row r="836" spans="1:27" ht="31.5">
      <c r="A836" s="569"/>
      <c r="B836" s="569"/>
      <c r="C836" s="266" t="s">
        <v>804</v>
      </c>
      <c r="D836" s="88" t="s">
        <v>805</v>
      </c>
      <c r="E836" s="292">
        <v>300</v>
      </c>
      <c r="F836" s="143">
        <f t="shared" si="107"/>
        <v>1</v>
      </c>
      <c r="G836" s="292">
        <v>300</v>
      </c>
      <c r="H836" s="428">
        <v>3142</v>
      </c>
      <c r="I836" s="307">
        <v>47474.77</v>
      </c>
      <c r="J836" s="307"/>
      <c r="K836" s="307"/>
      <c r="L836" s="49">
        <v>47474.77</v>
      </c>
      <c r="M836" s="307"/>
      <c r="N836" s="408"/>
      <c r="O836" s="307">
        <v>47474.77</v>
      </c>
      <c r="P836" s="408"/>
      <c r="Q836" s="408"/>
      <c r="R836" s="408"/>
      <c r="S836" s="408"/>
      <c r="T836" s="408"/>
      <c r="U836" s="408"/>
      <c r="V836" s="408"/>
      <c r="W836" s="408"/>
      <c r="X836" s="408"/>
      <c r="Y836" s="408"/>
      <c r="Z836" s="307">
        <v>47474.77</v>
      </c>
      <c r="AA836" s="408">
        <f t="shared" si="102"/>
        <v>0</v>
      </c>
    </row>
    <row r="837" spans="1:27" ht="31.5" hidden="1">
      <c r="A837" s="569"/>
      <c r="B837" s="569"/>
      <c r="C837" s="266"/>
      <c r="D837" s="88" t="s">
        <v>806</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2"/>
        <v>0</v>
      </c>
    </row>
    <row r="838" spans="1:27" ht="47.25" hidden="1">
      <c r="A838" s="569"/>
      <c r="B838" s="569"/>
      <c r="C838" s="266"/>
      <c r="D838" s="88" t="s">
        <v>257</v>
      </c>
      <c r="E838" s="292"/>
      <c r="F838" s="143"/>
      <c r="G838" s="292"/>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2"/>
        <v>0</v>
      </c>
    </row>
    <row r="839" spans="1:27" ht="31.5" hidden="1">
      <c r="A839" s="569"/>
      <c r="B839" s="569"/>
      <c r="C839" s="266"/>
      <c r="D839" s="88" t="s">
        <v>794</v>
      </c>
      <c r="E839" s="292"/>
      <c r="F839" s="143"/>
      <c r="G839" s="292"/>
      <c r="H839" s="428">
        <v>3142</v>
      </c>
      <c r="I839" s="307">
        <v>0</v>
      </c>
      <c r="J839" s="307"/>
      <c r="K839" s="307"/>
      <c r="L839" s="89"/>
      <c r="M839" s="307"/>
      <c r="N839" s="408"/>
      <c r="O839" s="307">
        <v>0</v>
      </c>
      <c r="P839" s="408"/>
      <c r="Q839" s="408"/>
      <c r="R839" s="408"/>
      <c r="S839" s="408"/>
      <c r="T839" s="408"/>
      <c r="U839" s="408"/>
      <c r="V839" s="408"/>
      <c r="W839" s="408"/>
      <c r="X839" s="408"/>
      <c r="Y839" s="408"/>
      <c r="Z839" s="307">
        <v>0</v>
      </c>
      <c r="AA839" s="408">
        <f t="shared" si="102"/>
        <v>0</v>
      </c>
    </row>
    <row r="840" spans="1:27" ht="31.5" hidden="1">
      <c r="A840" s="569"/>
      <c r="B840" s="569"/>
      <c r="C840" s="266"/>
      <c r="D840" s="88" t="s">
        <v>644</v>
      </c>
      <c r="E840" s="292"/>
      <c r="F840" s="143"/>
      <c r="G840" s="292"/>
      <c r="H840" s="428">
        <v>3142</v>
      </c>
      <c r="I840" s="307">
        <v>0</v>
      </c>
      <c r="J840" s="307"/>
      <c r="K840" s="307"/>
      <c r="L840" s="89"/>
      <c r="M840" s="307"/>
      <c r="N840" s="408"/>
      <c r="O840" s="307">
        <v>0</v>
      </c>
      <c r="P840" s="408"/>
      <c r="Q840" s="408"/>
      <c r="R840" s="408"/>
      <c r="S840" s="408"/>
      <c r="T840" s="408"/>
      <c r="U840" s="408"/>
      <c r="V840" s="408"/>
      <c r="W840" s="408"/>
      <c r="X840" s="408"/>
      <c r="Y840" s="408"/>
      <c r="Z840" s="307">
        <v>0</v>
      </c>
      <c r="AA840" s="408">
        <f t="shared" si="102"/>
        <v>0</v>
      </c>
    </row>
    <row r="841" spans="1:27" ht="31.5" hidden="1">
      <c r="A841" s="569"/>
      <c r="B841" s="569"/>
      <c r="C841" s="266" t="s">
        <v>645</v>
      </c>
      <c r="D841" s="88" t="s">
        <v>1033</v>
      </c>
      <c r="E841" s="292">
        <v>45.5</v>
      </c>
      <c r="F841" s="143">
        <f aca="true" t="shared" si="108" ref="F841:F848">100%-((E841-G841)/E841)</f>
        <v>1</v>
      </c>
      <c r="G841" s="292">
        <v>45.5</v>
      </c>
      <c r="H841" s="428">
        <v>3142</v>
      </c>
      <c r="I841" s="307">
        <v>0</v>
      </c>
      <c r="J841" s="307"/>
      <c r="K841" s="307"/>
      <c r="L841" s="89"/>
      <c r="M841" s="307"/>
      <c r="N841" s="408"/>
      <c r="O841" s="307">
        <v>0</v>
      </c>
      <c r="P841" s="408"/>
      <c r="Q841" s="408"/>
      <c r="R841" s="408"/>
      <c r="S841" s="408"/>
      <c r="T841" s="408"/>
      <c r="U841" s="408"/>
      <c r="V841" s="408"/>
      <c r="W841" s="408"/>
      <c r="X841" s="408"/>
      <c r="Y841" s="408"/>
      <c r="Z841" s="307">
        <v>0</v>
      </c>
      <c r="AA841" s="408">
        <f t="shared" si="102"/>
        <v>0</v>
      </c>
    </row>
    <row r="842" spans="1:27" ht="31.5" hidden="1">
      <c r="A842" s="569"/>
      <c r="B842" s="569"/>
      <c r="C842" s="266" t="s">
        <v>1034</v>
      </c>
      <c r="D842" s="14" t="s">
        <v>1035</v>
      </c>
      <c r="E842" s="292">
        <v>666.05813</v>
      </c>
      <c r="F842" s="143">
        <f t="shared" si="108"/>
        <v>0.98</v>
      </c>
      <c r="G842" s="292">
        <v>652.974</v>
      </c>
      <c r="H842" s="428">
        <v>3142</v>
      </c>
      <c r="I842" s="307">
        <v>0</v>
      </c>
      <c r="J842" s="307"/>
      <c r="K842" s="307"/>
      <c r="L842" s="49"/>
      <c r="M842" s="307"/>
      <c r="N842" s="408"/>
      <c r="O842" s="307">
        <v>0</v>
      </c>
      <c r="P842" s="408"/>
      <c r="Q842" s="408"/>
      <c r="R842" s="408"/>
      <c r="S842" s="408"/>
      <c r="T842" s="408"/>
      <c r="U842" s="408"/>
      <c r="V842" s="408"/>
      <c r="W842" s="408"/>
      <c r="X842" s="408"/>
      <c r="Y842" s="408"/>
      <c r="Z842" s="307">
        <v>0</v>
      </c>
      <c r="AA842" s="408">
        <f t="shared" si="102"/>
        <v>0</v>
      </c>
    </row>
    <row r="843" spans="1:27" ht="47.25" hidden="1">
      <c r="A843" s="569"/>
      <c r="B843" s="569"/>
      <c r="C843" s="266" t="s">
        <v>1036</v>
      </c>
      <c r="D843" s="14" t="s">
        <v>212</v>
      </c>
      <c r="E843" s="292">
        <v>480</v>
      </c>
      <c r="F843" s="143">
        <f t="shared" si="108"/>
        <v>0.569</v>
      </c>
      <c r="G843" s="292">
        <v>273.1</v>
      </c>
      <c r="H843" s="428">
        <v>3142</v>
      </c>
      <c r="I843" s="307">
        <v>0</v>
      </c>
      <c r="J843" s="307"/>
      <c r="K843" s="307"/>
      <c r="L843" s="49"/>
      <c r="M843" s="307"/>
      <c r="N843" s="408"/>
      <c r="O843" s="307">
        <v>0</v>
      </c>
      <c r="P843" s="408"/>
      <c r="Q843" s="408"/>
      <c r="R843" s="408"/>
      <c r="S843" s="408"/>
      <c r="T843" s="408"/>
      <c r="U843" s="408"/>
      <c r="V843" s="408"/>
      <c r="W843" s="408"/>
      <c r="X843" s="408"/>
      <c r="Y843" s="408"/>
      <c r="Z843" s="307">
        <v>0</v>
      </c>
      <c r="AA843" s="408">
        <f t="shared" si="102"/>
        <v>0</v>
      </c>
    </row>
    <row r="844" spans="1:27" ht="47.25" hidden="1">
      <c r="A844" s="569"/>
      <c r="B844" s="569"/>
      <c r="C844" s="266" t="s">
        <v>662</v>
      </c>
      <c r="D844" s="14" t="s">
        <v>1517</v>
      </c>
      <c r="E844" s="292">
        <v>46.3</v>
      </c>
      <c r="F844" s="143">
        <f t="shared" si="108"/>
        <v>1</v>
      </c>
      <c r="G844" s="292">
        <v>46.3</v>
      </c>
      <c r="H844" s="428">
        <v>3142</v>
      </c>
      <c r="I844" s="307">
        <v>0</v>
      </c>
      <c r="J844" s="307"/>
      <c r="K844" s="307"/>
      <c r="L844" s="49"/>
      <c r="M844" s="307"/>
      <c r="N844" s="408"/>
      <c r="O844" s="307">
        <v>0</v>
      </c>
      <c r="P844" s="408"/>
      <c r="Q844" s="408"/>
      <c r="R844" s="408"/>
      <c r="S844" s="408"/>
      <c r="T844" s="408"/>
      <c r="U844" s="408"/>
      <c r="V844" s="408"/>
      <c r="W844" s="408"/>
      <c r="X844" s="408"/>
      <c r="Y844" s="408"/>
      <c r="Z844" s="307">
        <v>0</v>
      </c>
      <c r="AA844" s="408">
        <f t="shared" si="102"/>
        <v>0</v>
      </c>
    </row>
    <row r="845" spans="1:27" ht="47.25" hidden="1">
      <c r="A845" s="569"/>
      <c r="B845" s="569"/>
      <c r="C845" s="266" t="s">
        <v>1518</v>
      </c>
      <c r="D845" s="14" t="s">
        <v>728</v>
      </c>
      <c r="E845" s="292">
        <v>530</v>
      </c>
      <c r="F845" s="143">
        <f t="shared" si="108"/>
        <v>1</v>
      </c>
      <c r="G845" s="292">
        <v>530</v>
      </c>
      <c r="H845" s="428">
        <v>3142</v>
      </c>
      <c r="I845" s="307">
        <v>0</v>
      </c>
      <c r="J845" s="307"/>
      <c r="K845" s="307"/>
      <c r="L845" s="90"/>
      <c r="M845" s="307"/>
      <c r="N845" s="408"/>
      <c r="O845" s="307">
        <v>0</v>
      </c>
      <c r="P845" s="408"/>
      <c r="Q845" s="408"/>
      <c r="R845" s="408"/>
      <c r="S845" s="408"/>
      <c r="T845" s="408"/>
      <c r="U845" s="408"/>
      <c r="V845" s="408"/>
      <c r="W845" s="408"/>
      <c r="X845" s="408"/>
      <c r="Y845" s="408"/>
      <c r="Z845" s="307">
        <v>0</v>
      </c>
      <c r="AA845" s="408">
        <f t="shared" si="102"/>
        <v>0</v>
      </c>
    </row>
    <row r="846" spans="1:27" ht="31.5" hidden="1">
      <c r="A846" s="569"/>
      <c r="B846" s="569"/>
      <c r="C846" s="266" t="s">
        <v>729</v>
      </c>
      <c r="D846" s="14" t="s">
        <v>730</v>
      </c>
      <c r="E846" s="292">
        <v>5327.07333</v>
      </c>
      <c r="F846" s="143">
        <f t="shared" si="108"/>
        <v>0.215</v>
      </c>
      <c r="G846" s="292">
        <v>1147.01599</v>
      </c>
      <c r="H846" s="428">
        <v>3142</v>
      </c>
      <c r="I846" s="307">
        <v>0</v>
      </c>
      <c r="J846" s="307"/>
      <c r="K846" s="307"/>
      <c r="L846" s="91"/>
      <c r="M846" s="307"/>
      <c r="N846" s="408"/>
      <c r="O846" s="307">
        <v>0</v>
      </c>
      <c r="P846" s="408"/>
      <c r="Q846" s="408"/>
      <c r="R846" s="408"/>
      <c r="S846" s="408"/>
      <c r="T846" s="408"/>
      <c r="U846" s="408"/>
      <c r="V846" s="408"/>
      <c r="W846" s="408"/>
      <c r="X846" s="408"/>
      <c r="Y846" s="408"/>
      <c r="Z846" s="307">
        <v>0</v>
      </c>
      <c r="AA846" s="408">
        <f t="shared" si="102"/>
        <v>0</v>
      </c>
    </row>
    <row r="847" spans="1:27" ht="31.5" hidden="1">
      <c r="A847" s="569"/>
      <c r="B847" s="569"/>
      <c r="C847" s="266" t="s">
        <v>731</v>
      </c>
      <c r="D847" s="14" t="s">
        <v>813</v>
      </c>
      <c r="E847" s="292">
        <v>5501.8129</v>
      </c>
      <c r="F847" s="143">
        <f t="shared" si="108"/>
        <v>0.603</v>
      </c>
      <c r="G847" s="292">
        <v>3316.7</v>
      </c>
      <c r="H847" s="428">
        <v>3142</v>
      </c>
      <c r="I847" s="307">
        <v>0</v>
      </c>
      <c r="J847" s="307"/>
      <c r="K847" s="307"/>
      <c r="L847" s="91"/>
      <c r="M847" s="307"/>
      <c r="N847" s="408"/>
      <c r="O847" s="307">
        <v>0</v>
      </c>
      <c r="P847" s="408"/>
      <c r="Q847" s="408"/>
      <c r="R847" s="408"/>
      <c r="S847" s="408"/>
      <c r="T847" s="408"/>
      <c r="U847" s="408"/>
      <c r="V847" s="408"/>
      <c r="W847" s="408"/>
      <c r="X847" s="408"/>
      <c r="Y847" s="408"/>
      <c r="Z847" s="307">
        <v>0</v>
      </c>
      <c r="AA847" s="408">
        <f t="shared" si="102"/>
        <v>0</v>
      </c>
    </row>
    <row r="848" spans="1:27" ht="31.5" hidden="1">
      <c r="A848" s="569"/>
      <c r="B848" s="569"/>
      <c r="C848" s="266" t="s">
        <v>814</v>
      </c>
      <c r="D848" s="14" t="s">
        <v>1142</v>
      </c>
      <c r="E848" s="292">
        <v>22881.33663</v>
      </c>
      <c r="F848" s="143">
        <f t="shared" si="108"/>
        <v>0.36</v>
      </c>
      <c r="G848" s="292">
        <v>8232.74167</v>
      </c>
      <c r="H848" s="428">
        <v>3142</v>
      </c>
      <c r="I848" s="307">
        <v>0</v>
      </c>
      <c r="J848" s="307"/>
      <c r="K848" s="307"/>
      <c r="L848" s="91"/>
      <c r="M848" s="307"/>
      <c r="N848" s="408"/>
      <c r="O848" s="307">
        <v>0</v>
      </c>
      <c r="P848" s="408"/>
      <c r="Q848" s="408"/>
      <c r="R848" s="408"/>
      <c r="S848" s="408"/>
      <c r="T848" s="408"/>
      <c r="U848" s="408"/>
      <c r="V848" s="408"/>
      <c r="W848" s="408"/>
      <c r="X848" s="408"/>
      <c r="Y848" s="408"/>
      <c r="Z848" s="307">
        <v>0</v>
      </c>
      <c r="AA848" s="408">
        <f t="shared" si="102"/>
        <v>0</v>
      </c>
    </row>
    <row r="849" spans="1:27" ht="15.75" hidden="1">
      <c r="A849" s="569"/>
      <c r="B849" s="569"/>
      <c r="C849" s="266"/>
      <c r="D849" s="14"/>
      <c r="E849" s="292"/>
      <c r="F849" s="143"/>
      <c r="G849" s="292"/>
      <c r="H849" s="428">
        <v>3142</v>
      </c>
      <c r="I849" s="307"/>
      <c r="J849" s="307"/>
      <c r="K849" s="307"/>
      <c r="L849" s="91"/>
      <c r="M849" s="307"/>
      <c r="N849" s="408"/>
      <c r="O849" s="307"/>
      <c r="P849" s="408"/>
      <c r="Q849" s="408"/>
      <c r="R849" s="408"/>
      <c r="S849" s="408"/>
      <c r="T849" s="408"/>
      <c r="U849" s="408"/>
      <c r="V849" s="408"/>
      <c r="W849" s="408"/>
      <c r="X849" s="408"/>
      <c r="Y849" s="408"/>
      <c r="Z849" s="307"/>
      <c r="AA849" s="408">
        <f t="shared" si="102"/>
        <v>0</v>
      </c>
    </row>
    <row r="850" spans="1:27" ht="47.25">
      <c r="A850" s="569"/>
      <c r="B850" s="569"/>
      <c r="C850" s="266" t="s">
        <v>1143</v>
      </c>
      <c r="D850" s="14" t="s">
        <v>1144</v>
      </c>
      <c r="E850" s="292">
        <v>8073.9099</v>
      </c>
      <c r="F850" s="143">
        <f aca="true" t="shared" si="109" ref="F850:F859">100%-((E850-G850)/E850)</f>
        <v>0.534</v>
      </c>
      <c r="G850" s="292">
        <v>4309.89012</v>
      </c>
      <c r="H850" s="428">
        <v>3142</v>
      </c>
      <c r="I850" s="307">
        <v>84.37</v>
      </c>
      <c r="J850" s="307"/>
      <c r="K850" s="307"/>
      <c r="L850" s="91">
        <v>84.37</v>
      </c>
      <c r="M850" s="307"/>
      <c r="N850" s="408"/>
      <c r="O850" s="307">
        <v>84.37</v>
      </c>
      <c r="P850" s="408"/>
      <c r="Q850" s="408"/>
      <c r="R850" s="408"/>
      <c r="S850" s="408"/>
      <c r="T850" s="408"/>
      <c r="U850" s="408"/>
      <c r="V850" s="408"/>
      <c r="W850" s="408"/>
      <c r="X850" s="408"/>
      <c r="Y850" s="408"/>
      <c r="Z850" s="307">
        <v>84.37</v>
      </c>
      <c r="AA850" s="408">
        <f t="shared" si="102"/>
        <v>0</v>
      </c>
    </row>
    <row r="851" spans="1:27" ht="31.5" hidden="1">
      <c r="A851" s="569"/>
      <c r="B851" s="569"/>
      <c r="C851" s="266" t="s">
        <v>1145</v>
      </c>
      <c r="D851" s="14" t="s">
        <v>1146</v>
      </c>
      <c r="E851" s="292">
        <v>10576.67791</v>
      </c>
      <c r="F851" s="143">
        <f t="shared" si="109"/>
        <v>0.484</v>
      </c>
      <c r="G851" s="292">
        <v>5119.57061</v>
      </c>
      <c r="H851" s="428">
        <v>3142</v>
      </c>
      <c r="I851" s="307">
        <v>0</v>
      </c>
      <c r="J851" s="307"/>
      <c r="K851" s="474"/>
      <c r="L851" s="92"/>
      <c r="M851" s="307"/>
      <c r="N851" s="408"/>
      <c r="O851" s="307">
        <v>0</v>
      </c>
      <c r="P851" s="408"/>
      <c r="Q851" s="408"/>
      <c r="R851" s="408"/>
      <c r="S851" s="408"/>
      <c r="T851" s="408"/>
      <c r="U851" s="408"/>
      <c r="V851" s="408"/>
      <c r="W851" s="408"/>
      <c r="X851" s="408"/>
      <c r="Y851" s="408"/>
      <c r="Z851" s="307">
        <v>0</v>
      </c>
      <c r="AA851" s="408">
        <f t="shared" si="102"/>
        <v>0</v>
      </c>
    </row>
    <row r="852" spans="1:27" ht="31.5" hidden="1">
      <c r="A852" s="569"/>
      <c r="B852" s="569"/>
      <c r="C852" s="266" t="s">
        <v>1147</v>
      </c>
      <c r="D852" s="14" t="s">
        <v>1148</v>
      </c>
      <c r="E852" s="292">
        <v>12351.1497</v>
      </c>
      <c r="F852" s="143">
        <f t="shared" si="109"/>
        <v>0.231</v>
      </c>
      <c r="G852" s="292">
        <v>2852.02184</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2"/>
        <v>0</v>
      </c>
    </row>
    <row r="853" spans="1:27" ht="31.5" customHeight="1" hidden="1">
      <c r="A853" s="569"/>
      <c r="B853" s="569"/>
      <c r="C853" s="266" t="s">
        <v>1149</v>
      </c>
      <c r="D853" s="14" t="s">
        <v>1150</v>
      </c>
      <c r="E853" s="292">
        <v>1800</v>
      </c>
      <c r="F853" s="143">
        <f t="shared" si="109"/>
        <v>1</v>
      </c>
      <c r="G853" s="292">
        <v>1800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2"/>
        <v>0</v>
      </c>
    </row>
    <row r="854" spans="1:27" ht="63">
      <c r="A854" s="569"/>
      <c r="B854" s="569"/>
      <c r="C854" s="266" t="s">
        <v>1151</v>
      </c>
      <c r="D854" s="14" t="s">
        <v>315</v>
      </c>
      <c r="E854" s="292">
        <v>999</v>
      </c>
      <c r="F854" s="143">
        <f t="shared" si="109"/>
        <v>1</v>
      </c>
      <c r="G854" s="292">
        <v>999</v>
      </c>
      <c r="H854" s="428">
        <v>3142</v>
      </c>
      <c r="I854" s="307">
        <v>1863.55</v>
      </c>
      <c r="J854" s="307"/>
      <c r="K854" s="307"/>
      <c r="L854" s="49">
        <v>1863.55</v>
      </c>
      <c r="M854" s="307"/>
      <c r="N854" s="408"/>
      <c r="O854" s="307">
        <v>1863.55</v>
      </c>
      <c r="P854" s="408"/>
      <c r="Q854" s="408"/>
      <c r="R854" s="408"/>
      <c r="S854" s="408"/>
      <c r="T854" s="408"/>
      <c r="U854" s="408"/>
      <c r="V854" s="408"/>
      <c r="W854" s="408"/>
      <c r="X854" s="408"/>
      <c r="Y854" s="408"/>
      <c r="Z854" s="307">
        <v>1863.55</v>
      </c>
      <c r="AA854" s="408">
        <f t="shared" si="102"/>
        <v>0</v>
      </c>
    </row>
    <row r="855" spans="1:27" ht="15.75" hidden="1">
      <c r="A855" s="569"/>
      <c r="B855" s="569"/>
      <c r="C855" s="266" t="s">
        <v>316</v>
      </c>
      <c r="D855" s="14" t="s">
        <v>1213</v>
      </c>
      <c r="E855" s="292">
        <v>50</v>
      </c>
      <c r="F855" s="143">
        <f t="shared" si="109"/>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aca="true" t="shared" si="110" ref="AA855:AA918">N855+O855+P855+Q855+R855+S855+T855+U855-Z855</f>
        <v>0</v>
      </c>
    </row>
    <row r="856" spans="1:27" ht="15.75" hidden="1">
      <c r="A856" s="569"/>
      <c r="B856" s="569"/>
      <c r="C856" s="266" t="s">
        <v>1214</v>
      </c>
      <c r="D856" s="14" t="s">
        <v>1215</v>
      </c>
      <c r="E856" s="292">
        <v>50</v>
      </c>
      <c r="F856" s="143">
        <f t="shared" si="109"/>
        <v>1</v>
      </c>
      <c r="G856" s="292">
        <v>50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0"/>
        <v>0</v>
      </c>
    </row>
    <row r="857" spans="1:27" ht="15.75" hidden="1">
      <c r="A857" s="569"/>
      <c r="B857" s="569"/>
      <c r="C857" s="266" t="s">
        <v>1216</v>
      </c>
      <c r="D857" s="14" t="s">
        <v>1217</v>
      </c>
      <c r="E857" s="292">
        <v>50</v>
      </c>
      <c r="F857" s="143">
        <f t="shared" si="109"/>
        <v>1</v>
      </c>
      <c r="G857" s="292">
        <v>50</v>
      </c>
      <c r="H857" s="428">
        <v>3142</v>
      </c>
      <c r="I857" s="307">
        <v>0</v>
      </c>
      <c r="J857" s="307"/>
      <c r="K857" s="307"/>
      <c r="L857" s="49"/>
      <c r="M857" s="307"/>
      <c r="N857" s="408"/>
      <c r="O857" s="307">
        <v>0</v>
      </c>
      <c r="P857" s="408"/>
      <c r="Q857" s="408"/>
      <c r="R857" s="408"/>
      <c r="S857" s="408"/>
      <c r="T857" s="408"/>
      <c r="U857" s="408"/>
      <c r="V857" s="408"/>
      <c r="W857" s="408"/>
      <c r="X857" s="408"/>
      <c r="Y857" s="408"/>
      <c r="Z857" s="307">
        <v>0</v>
      </c>
      <c r="AA857" s="408">
        <f t="shared" si="110"/>
        <v>0</v>
      </c>
    </row>
    <row r="858" spans="1:27" ht="15.75" hidden="1">
      <c r="A858" s="569"/>
      <c r="B858" s="569"/>
      <c r="C858" s="266" t="s">
        <v>1218</v>
      </c>
      <c r="D858" s="14" t="s">
        <v>1226</v>
      </c>
      <c r="E858" s="292">
        <v>50</v>
      </c>
      <c r="F858" s="143">
        <f t="shared" si="109"/>
        <v>1</v>
      </c>
      <c r="G858" s="292">
        <v>50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0"/>
        <v>0</v>
      </c>
    </row>
    <row r="859" spans="1:27" ht="31.5" hidden="1">
      <c r="A859" s="569"/>
      <c r="B859" s="569"/>
      <c r="C859" s="306" t="s">
        <v>1227</v>
      </c>
      <c r="D859" s="14" t="s">
        <v>1228</v>
      </c>
      <c r="E859" s="292">
        <v>999</v>
      </c>
      <c r="F859" s="143">
        <f t="shared" si="109"/>
        <v>1</v>
      </c>
      <c r="G859" s="292">
        <v>999</v>
      </c>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0"/>
        <v>0</v>
      </c>
    </row>
    <row r="860" spans="1:27" ht="15.75" customHeight="1" hidden="1">
      <c r="A860" s="569"/>
      <c r="B860" s="569"/>
      <c r="C860" s="306"/>
      <c r="D860" s="93"/>
      <c r="E860" s="292"/>
      <c r="F860" s="143"/>
      <c r="G860" s="292"/>
      <c r="H860" s="428">
        <v>3142</v>
      </c>
      <c r="I860" s="319"/>
      <c r="J860" s="307"/>
      <c r="K860" s="307"/>
      <c r="L860" s="307"/>
      <c r="M860" s="307"/>
      <c r="N860" s="408"/>
      <c r="O860" s="319"/>
      <c r="P860" s="408"/>
      <c r="Q860" s="408"/>
      <c r="R860" s="408"/>
      <c r="S860" s="408"/>
      <c r="T860" s="408"/>
      <c r="U860" s="408"/>
      <c r="V860" s="408"/>
      <c r="W860" s="408"/>
      <c r="X860" s="408"/>
      <c r="Y860" s="408"/>
      <c r="Z860" s="319"/>
      <c r="AA860" s="408">
        <f t="shared" si="110"/>
        <v>0</v>
      </c>
    </row>
    <row r="861" spans="1:27" ht="15.75" hidden="1">
      <c r="A861" s="569"/>
      <c r="B861" s="569"/>
      <c r="C861" s="306" t="s">
        <v>1229</v>
      </c>
      <c r="D861" s="14" t="s">
        <v>1230</v>
      </c>
      <c r="E861" s="292">
        <v>12333.494</v>
      </c>
      <c r="F861" s="143">
        <f>100%-((E861-G861)/E861)</f>
        <v>0.421</v>
      </c>
      <c r="G861" s="292">
        <v>5198.407</v>
      </c>
      <c r="H861" s="428">
        <v>3142</v>
      </c>
      <c r="I861" s="307">
        <v>0</v>
      </c>
      <c r="J861" s="307"/>
      <c r="K861" s="307"/>
      <c r="L861" s="307"/>
      <c r="M861" s="307"/>
      <c r="N861" s="408"/>
      <c r="O861" s="307">
        <v>0</v>
      </c>
      <c r="P861" s="408"/>
      <c r="Q861" s="408"/>
      <c r="R861" s="408"/>
      <c r="S861" s="408"/>
      <c r="T861" s="408"/>
      <c r="U861" s="408"/>
      <c r="V861" s="408"/>
      <c r="W861" s="408"/>
      <c r="X861" s="408"/>
      <c r="Y861" s="408"/>
      <c r="Z861" s="307">
        <v>0</v>
      </c>
      <c r="AA861" s="408">
        <f t="shared" si="110"/>
        <v>0</v>
      </c>
    </row>
    <row r="862" spans="1:27" ht="31.5" customHeight="1" hidden="1">
      <c r="A862" s="569"/>
      <c r="B862" s="569"/>
      <c r="C862" s="306"/>
      <c r="D862" s="14" t="s">
        <v>1307</v>
      </c>
      <c r="E862" s="292"/>
      <c r="F862" s="143" t="e">
        <f>100%-((E862-G862)/E862)</f>
        <v>#DIV/0!</v>
      </c>
      <c r="G862" s="292"/>
      <c r="H862" s="428">
        <v>3142</v>
      </c>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0"/>
        <v>0</v>
      </c>
    </row>
    <row r="863" spans="1:27" ht="31.5" hidden="1">
      <c r="A863" s="569"/>
      <c r="B863" s="569"/>
      <c r="C863" s="306" t="s">
        <v>1308</v>
      </c>
      <c r="D863" s="14" t="s">
        <v>1309</v>
      </c>
      <c r="E863" s="292">
        <v>250</v>
      </c>
      <c r="F863" s="143">
        <f>100%-((E863-G863)/E863)</f>
        <v>1</v>
      </c>
      <c r="G863" s="292">
        <v>250</v>
      </c>
      <c r="H863" s="428">
        <v>3142</v>
      </c>
      <c r="I863" s="307">
        <v>0</v>
      </c>
      <c r="J863" s="307"/>
      <c r="K863" s="307"/>
      <c r="L863" s="307"/>
      <c r="M863" s="307"/>
      <c r="N863" s="408"/>
      <c r="O863" s="307">
        <v>0</v>
      </c>
      <c r="P863" s="408"/>
      <c r="Q863" s="408"/>
      <c r="R863" s="408"/>
      <c r="S863" s="408"/>
      <c r="T863" s="408"/>
      <c r="U863" s="408"/>
      <c r="V863" s="408"/>
      <c r="W863" s="408"/>
      <c r="X863" s="408"/>
      <c r="Y863" s="408"/>
      <c r="Z863" s="307">
        <v>0</v>
      </c>
      <c r="AA863" s="408">
        <f t="shared" si="110"/>
        <v>0</v>
      </c>
    </row>
    <row r="864" spans="1:27" ht="47.25">
      <c r="A864" s="569"/>
      <c r="B864" s="569"/>
      <c r="C864" s="306"/>
      <c r="D864" s="14" t="s">
        <v>555</v>
      </c>
      <c r="E864" s="292">
        <v>19.5</v>
      </c>
      <c r="F864" s="143">
        <f>100%-((E864-G864)/E864)</f>
        <v>1</v>
      </c>
      <c r="G864" s="292">
        <v>19.5</v>
      </c>
      <c r="H864" s="428">
        <v>3122</v>
      </c>
      <c r="I864" s="307">
        <v>19487.86</v>
      </c>
      <c r="J864" s="307"/>
      <c r="K864" s="307"/>
      <c r="L864" s="307">
        <v>19487.86</v>
      </c>
      <c r="M864" s="307"/>
      <c r="N864" s="408"/>
      <c r="O864" s="307">
        <v>19487.86</v>
      </c>
      <c r="P864" s="408"/>
      <c r="Q864" s="408"/>
      <c r="R864" s="408"/>
      <c r="S864" s="408"/>
      <c r="T864" s="408"/>
      <c r="U864" s="408"/>
      <c r="V864" s="408"/>
      <c r="W864" s="408"/>
      <c r="X864" s="408"/>
      <c r="Y864" s="408"/>
      <c r="Z864" s="307">
        <v>19487.86</v>
      </c>
      <c r="AA864" s="408">
        <f t="shared" si="110"/>
        <v>0</v>
      </c>
    </row>
    <row r="865" spans="1:27" ht="47.25" hidden="1">
      <c r="A865" s="569"/>
      <c r="B865" s="569"/>
      <c r="C865" s="306"/>
      <c r="D865" s="14" t="s">
        <v>857</v>
      </c>
      <c r="E865" s="292"/>
      <c r="F865" s="143"/>
      <c r="G865" s="292"/>
      <c r="H865" s="428"/>
      <c r="I865" s="307">
        <v>0</v>
      </c>
      <c r="J865" s="307"/>
      <c r="K865" s="307"/>
      <c r="L865" s="307"/>
      <c r="M865" s="307"/>
      <c r="N865" s="408"/>
      <c r="O865" s="307">
        <v>0</v>
      </c>
      <c r="P865" s="408"/>
      <c r="Q865" s="408"/>
      <c r="R865" s="408"/>
      <c r="S865" s="408"/>
      <c r="T865" s="408"/>
      <c r="U865" s="408"/>
      <c r="V865" s="408"/>
      <c r="W865" s="408"/>
      <c r="X865" s="408"/>
      <c r="Y865" s="408"/>
      <c r="Z865" s="307">
        <v>0</v>
      </c>
      <c r="AA865" s="408">
        <f t="shared" si="110"/>
        <v>0</v>
      </c>
    </row>
    <row r="866" spans="1:27" ht="31.5">
      <c r="A866" s="569"/>
      <c r="B866" s="569"/>
      <c r="C866" s="306"/>
      <c r="D866" s="14" t="s">
        <v>1324</v>
      </c>
      <c r="E866" s="292">
        <v>77</v>
      </c>
      <c r="F866" s="143">
        <f>100%-((E866-G866)/E866)</f>
        <v>1</v>
      </c>
      <c r="G866" s="292">
        <v>77</v>
      </c>
      <c r="H866" s="428">
        <v>3122</v>
      </c>
      <c r="I866" s="307">
        <v>10257.14</v>
      </c>
      <c r="J866" s="307"/>
      <c r="K866" s="307"/>
      <c r="L866" s="307">
        <v>10257.14</v>
      </c>
      <c r="M866" s="307"/>
      <c r="N866" s="408"/>
      <c r="O866" s="307">
        <v>10257.14</v>
      </c>
      <c r="P866" s="408"/>
      <c r="Q866" s="408"/>
      <c r="R866" s="408"/>
      <c r="S866" s="408"/>
      <c r="T866" s="408"/>
      <c r="U866" s="408"/>
      <c r="V866" s="408"/>
      <c r="W866" s="408"/>
      <c r="X866" s="408"/>
      <c r="Y866" s="408"/>
      <c r="Z866" s="307">
        <v>10257.14</v>
      </c>
      <c r="AA866" s="408">
        <f t="shared" si="110"/>
        <v>0</v>
      </c>
    </row>
    <row r="867" spans="1:27" s="362" customFormat="1" ht="15.75">
      <c r="A867" s="569"/>
      <c r="B867" s="569"/>
      <c r="C867" s="306"/>
      <c r="D867" s="1" t="s">
        <v>242</v>
      </c>
      <c r="E867" s="292"/>
      <c r="F867" s="143"/>
      <c r="G867" s="292"/>
      <c r="H867" s="428">
        <v>3142</v>
      </c>
      <c r="I867" s="307">
        <v>1000000</v>
      </c>
      <c r="J867" s="307"/>
      <c r="K867" s="307"/>
      <c r="L867" s="76"/>
      <c r="M867" s="76">
        <v>1000000</v>
      </c>
      <c r="N867" s="408"/>
      <c r="O867" s="408"/>
      <c r="P867" s="408"/>
      <c r="Q867" s="408"/>
      <c r="R867" s="408">
        <v>50000</v>
      </c>
      <c r="S867" s="408">
        <v>50000</v>
      </c>
      <c r="T867" s="408">
        <f>450000-450000</f>
        <v>0</v>
      </c>
      <c r="U867" s="408">
        <f>450000-450000</f>
        <v>0</v>
      </c>
      <c r="V867" s="408"/>
      <c r="W867" s="408"/>
      <c r="X867" s="408">
        <v>900000</v>
      </c>
      <c r="Y867" s="408"/>
      <c r="Z867" s="408"/>
      <c r="AA867" s="408">
        <f t="shared" si="110"/>
        <v>100000</v>
      </c>
    </row>
    <row r="868" spans="1:27" s="362" customFormat="1" ht="31.5">
      <c r="A868" s="569"/>
      <c r="B868" s="569"/>
      <c r="C868" s="306"/>
      <c r="D868" s="1" t="s">
        <v>1106</v>
      </c>
      <c r="E868" s="292"/>
      <c r="F868" s="143"/>
      <c r="G868" s="292"/>
      <c r="H868" s="428">
        <v>3142</v>
      </c>
      <c r="I868" s="307">
        <v>15000</v>
      </c>
      <c r="J868" s="307"/>
      <c r="K868" s="307"/>
      <c r="L868" s="76"/>
      <c r="M868" s="76">
        <v>15000</v>
      </c>
      <c r="N868" s="408"/>
      <c r="O868" s="408"/>
      <c r="P868" s="408"/>
      <c r="Q868" s="408"/>
      <c r="R868" s="408"/>
      <c r="S868" s="408"/>
      <c r="T868" s="408">
        <v>15000</v>
      </c>
      <c r="U868" s="408"/>
      <c r="V868" s="408"/>
      <c r="W868" s="408"/>
      <c r="X868" s="408"/>
      <c r="Y868" s="408"/>
      <c r="Z868" s="408"/>
      <c r="AA868" s="408">
        <f t="shared" si="110"/>
        <v>15000</v>
      </c>
    </row>
    <row r="869" spans="1:27" s="362" customFormat="1" ht="31.5">
      <c r="A869" s="569"/>
      <c r="B869" s="569"/>
      <c r="C869" s="306"/>
      <c r="D869" s="1" t="s">
        <v>1107</v>
      </c>
      <c r="E869" s="292"/>
      <c r="F869" s="143"/>
      <c r="G869" s="292"/>
      <c r="H869" s="428">
        <v>3142</v>
      </c>
      <c r="I869" s="307">
        <v>300000</v>
      </c>
      <c r="J869" s="307"/>
      <c r="K869" s="307"/>
      <c r="L869" s="76"/>
      <c r="M869" s="76">
        <v>300000</v>
      </c>
      <c r="N869" s="408"/>
      <c r="O869" s="408"/>
      <c r="P869" s="408"/>
      <c r="Q869" s="408"/>
      <c r="R869" s="408">
        <v>100000</v>
      </c>
      <c r="S869" s="408">
        <v>100000</v>
      </c>
      <c r="T869" s="408">
        <v>100000</v>
      </c>
      <c r="U869" s="408"/>
      <c r="V869" s="408"/>
      <c r="W869" s="408"/>
      <c r="X869" s="408"/>
      <c r="Y869" s="408"/>
      <c r="Z869" s="408"/>
      <c r="AA869" s="408">
        <f t="shared" si="110"/>
        <v>300000</v>
      </c>
    </row>
    <row r="870" spans="1:27" s="362" customFormat="1" ht="31.5">
      <c r="A870" s="569"/>
      <c r="B870" s="569"/>
      <c r="C870" s="306"/>
      <c r="D870" s="1" t="s">
        <v>282</v>
      </c>
      <c r="E870" s="292"/>
      <c r="F870" s="143"/>
      <c r="G870" s="292"/>
      <c r="H870" s="428">
        <v>3142</v>
      </c>
      <c r="I870" s="307">
        <v>350000</v>
      </c>
      <c r="J870" s="307"/>
      <c r="K870" s="307"/>
      <c r="L870" s="76"/>
      <c r="M870" s="76">
        <v>350000</v>
      </c>
      <c r="N870" s="408"/>
      <c r="O870" s="408"/>
      <c r="P870" s="408"/>
      <c r="Q870" s="408"/>
      <c r="R870" s="408">
        <v>100000</v>
      </c>
      <c r="S870" s="408">
        <v>70000</v>
      </c>
      <c r="T870" s="408">
        <v>70000</v>
      </c>
      <c r="U870" s="408">
        <v>110000</v>
      </c>
      <c r="V870" s="408"/>
      <c r="W870" s="408"/>
      <c r="X870" s="408"/>
      <c r="Y870" s="408"/>
      <c r="Z870" s="408"/>
      <c r="AA870" s="408">
        <f t="shared" si="110"/>
        <v>350000</v>
      </c>
    </row>
    <row r="871" spans="1:27" s="362" customFormat="1" ht="31.5">
      <c r="A871" s="569"/>
      <c r="B871" s="569"/>
      <c r="C871" s="306"/>
      <c r="D871" s="1" t="s">
        <v>722</v>
      </c>
      <c r="E871" s="292"/>
      <c r="F871" s="143"/>
      <c r="G871" s="292"/>
      <c r="H871" s="428">
        <v>3142</v>
      </c>
      <c r="I871" s="307">
        <v>196993.08</v>
      </c>
      <c r="J871" s="307"/>
      <c r="K871" s="307"/>
      <c r="L871" s="76"/>
      <c r="M871" s="76">
        <v>196993.08</v>
      </c>
      <c r="N871" s="408"/>
      <c r="O871" s="408"/>
      <c r="P871" s="408"/>
      <c r="Q871" s="408"/>
      <c r="R871" s="408"/>
      <c r="S871" s="408">
        <v>50000</v>
      </c>
      <c r="T871" s="408">
        <v>50000</v>
      </c>
      <c r="U871" s="408">
        <v>96993.08</v>
      </c>
      <c r="V871" s="408"/>
      <c r="W871" s="408"/>
      <c r="X871" s="408"/>
      <c r="Y871" s="408"/>
      <c r="Z871" s="408"/>
      <c r="AA871" s="408">
        <f t="shared" si="110"/>
        <v>196993.08</v>
      </c>
    </row>
    <row r="872" spans="1:27" s="362" customFormat="1" ht="31.5">
      <c r="A872" s="569"/>
      <c r="B872" s="569"/>
      <c r="C872" s="306"/>
      <c r="D872" s="13" t="s">
        <v>723</v>
      </c>
      <c r="E872" s="292"/>
      <c r="F872" s="143"/>
      <c r="G872" s="292"/>
      <c r="H872" s="428">
        <v>3142</v>
      </c>
      <c r="I872" s="307">
        <v>100000</v>
      </c>
      <c r="J872" s="307"/>
      <c r="K872" s="307"/>
      <c r="L872" s="76"/>
      <c r="M872" s="76">
        <v>100000</v>
      </c>
      <c r="N872" s="408"/>
      <c r="O872" s="408"/>
      <c r="P872" s="408"/>
      <c r="Q872" s="408"/>
      <c r="R872" s="408">
        <v>100000</v>
      </c>
      <c r="S872" s="408"/>
      <c r="T872" s="408"/>
      <c r="U872" s="408"/>
      <c r="V872" s="408"/>
      <c r="W872" s="408"/>
      <c r="X872" s="408"/>
      <c r="Y872" s="408"/>
      <c r="Z872" s="408"/>
      <c r="AA872" s="408">
        <f t="shared" si="110"/>
        <v>100000</v>
      </c>
    </row>
    <row r="873" spans="1:27" s="362" customFormat="1" ht="31.5">
      <c r="A873" s="569"/>
      <c r="B873" s="569"/>
      <c r="C873" s="306"/>
      <c r="D873" s="13" t="s">
        <v>347</v>
      </c>
      <c r="E873" s="292"/>
      <c r="F873" s="143"/>
      <c r="G873" s="292"/>
      <c r="H873" s="428">
        <v>3142</v>
      </c>
      <c r="I873" s="307">
        <v>50000</v>
      </c>
      <c r="J873" s="307"/>
      <c r="K873" s="307"/>
      <c r="L873" s="76"/>
      <c r="M873" s="76">
        <v>50000</v>
      </c>
      <c r="N873" s="408"/>
      <c r="O873" s="408"/>
      <c r="P873" s="408"/>
      <c r="Q873" s="408"/>
      <c r="R873" s="408">
        <v>50000</v>
      </c>
      <c r="S873" s="408"/>
      <c r="T873" s="408"/>
      <c r="U873" s="408"/>
      <c r="V873" s="408"/>
      <c r="W873" s="408"/>
      <c r="X873" s="408"/>
      <c r="Y873" s="408"/>
      <c r="Z873" s="408">
        <f>1793.4+2391.2</f>
        <v>4184.6</v>
      </c>
      <c r="AA873" s="408">
        <f t="shared" si="110"/>
        <v>45815.4</v>
      </c>
    </row>
    <row r="874" spans="1:27" s="362" customFormat="1" ht="31.5">
      <c r="A874" s="569"/>
      <c r="B874" s="569"/>
      <c r="C874" s="306"/>
      <c r="D874" s="14" t="s">
        <v>291</v>
      </c>
      <c r="E874" s="292"/>
      <c r="F874" s="143"/>
      <c r="G874" s="292"/>
      <c r="H874" s="428">
        <v>3142</v>
      </c>
      <c r="I874" s="307">
        <v>50000</v>
      </c>
      <c r="J874" s="307"/>
      <c r="K874" s="307"/>
      <c r="L874" s="76"/>
      <c r="M874" s="76">
        <v>50000</v>
      </c>
      <c r="N874" s="408"/>
      <c r="O874" s="408"/>
      <c r="P874" s="408"/>
      <c r="Q874" s="408"/>
      <c r="R874" s="408"/>
      <c r="S874" s="408"/>
      <c r="T874" s="408"/>
      <c r="U874" s="408">
        <v>50000</v>
      </c>
      <c r="V874" s="408"/>
      <c r="W874" s="408"/>
      <c r="X874" s="408"/>
      <c r="Y874" s="408"/>
      <c r="Z874" s="408"/>
      <c r="AA874" s="408">
        <f t="shared" si="110"/>
        <v>50000</v>
      </c>
    </row>
    <row r="875" spans="1:27" s="362" customFormat="1" ht="47.25">
      <c r="A875" s="569"/>
      <c r="B875" s="569"/>
      <c r="C875" s="306"/>
      <c r="D875" s="376" t="s">
        <v>236</v>
      </c>
      <c r="E875" s="292"/>
      <c r="F875" s="143"/>
      <c r="G875" s="292"/>
      <c r="H875" s="428">
        <v>3142</v>
      </c>
      <c r="I875" s="307">
        <v>500000</v>
      </c>
      <c r="J875" s="307"/>
      <c r="K875" s="307"/>
      <c r="L875" s="76"/>
      <c r="M875" s="76">
        <v>500000</v>
      </c>
      <c r="N875" s="408"/>
      <c r="O875" s="408"/>
      <c r="P875" s="408"/>
      <c r="Q875" s="408"/>
      <c r="R875" s="408"/>
      <c r="S875" s="408">
        <v>100000</v>
      </c>
      <c r="T875" s="408"/>
      <c r="U875" s="408">
        <v>400000</v>
      </c>
      <c r="V875" s="408"/>
      <c r="W875" s="408"/>
      <c r="X875" s="408"/>
      <c r="Y875" s="408"/>
      <c r="Z875" s="408"/>
      <c r="AA875" s="408">
        <f t="shared" si="110"/>
        <v>500000</v>
      </c>
    </row>
    <row r="876" spans="1:27" s="362" customFormat="1" ht="31.5">
      <c r="A876" s="569"/>
      <c r="B876" s="569"/>
      <c r="C876" s="306"/>
      <c r="D876" s="14" t="s">
        <v>292</v>
      </c>
      <c r="E876" s="292"/>
      <c r="F876" s="143"/>
      <c r="G876" s="292"/>
      <c r="H876" s="428">
        <v>3142</v>
      </c>
      <c r="I876" s="307">
        <v>350000</v>
      </c>
      <c r="J876" s="307"/>
      <c r="K876" s="307"/>
      <c r="L876" s="76"/>
      <c r="M876" s="76">
        <v>350000</v>
      </c>
      <c r="N876" s="408"/>
      <c r="O876" s="408"/>
      <c r="P876" s="408"/>
      <c r="Q876" s="408"/>
      <c r="R876" s="408">
        <v>80000</v>
      </c>
      <c r="S876" s="408"/>
      <c r="T876" s="408">
        <v>135000</v>
      </c>
      <c r="U876" s="408">
        <v>135000</v>
      </c>
      <c r="V876" s="408"/>
      <c r="W876" s="408"/>
      <c r="X876" s="408"/>
      <c r="Y876" s="408"/>
      <c r="Z876" s="408">
        <v>61377.3</v>
      </c>
      <c r="AA876" s="408">
        <f t="shared" si="110"/>
        <v>288622.7</v>
      </c>
    </row>
    <row r="877" spans="1:27" s="362" customFormat="1" ht="47.25">
      <c r="A877" s="569"/>
      <c r="B877" s="569"/>
      <c r="C877" s="306"/>
      <c r="D877" s="376" t="s">
        <v>304</v>
      </c>
      <c r="E877" s="292"/>
      <c r="F877" s="143"/>
      <c r="G877" s="292"/>
      <c r="H877" s="428">
        <v>3142</v>
      </c>
      <c r="I877" s="307">
        <v>463000</v>
      </c>
      <c r="J877" s="307"/>
      <c r="K877" s="307"/>
      <c r="L877" s="76"/>
      <c r="M877" s="76">
        <v>463000</v>
      </c>
      <c r="N877" s="408"/>
      <c r="O877" s="408"/>
      <c r="P877" s="408"/>
      <c r="Q877" s="408"/>
      <c r="R877" s="408"/>
      <c r="S877" s="408">
        <v>463000</v>
      </c>
      <c r="T877" s="408"/>
      <c r="U877" s="408"/>
      <c r="V877" s="408"/>
      <c r="W877" s="408"/>
      <c r="X877" s="408"/>
      <c r="Y877" s="408"/>
      <c r="Z877" s="408"/>
      <c r="AA877" s="408">
        <f t="shared" si="110"/>
        <v>463000</v>
      </c>
    </row>
    <row r="878" spans="1:27" s="362" customFormat="1" ht="31.5">
      <c r="A878" s="569"/>
      <c r="B878" s="569"/>
      <c r="C878" s="306"/>
      <c r="D878" s="13" t="s">
        <v>305</v>
      </c>
      <c r="E878" s="292"/>
      <c r="F878" s="143"/>
      <c r="G878" s="292"/>
      <c r="H878" s="428">
        <v>3142</v>
      </c>
      <c r="I878" s="307">
        <v>116049.77</v>
      </c>
      <c r="J878" s="307"/>
      <c r="K878" s="307"/>
      <c r="L878" s="76"/>
      <c r="M878" s="76">
        <v>116049.77</v>
      </c>
      <c r="N878" s="408"/>
      <c r="O878" s="408"/>
      <c r="P878" s="408"/>
      <c r="Q878" s="76">
        <v>116049.77</v>
      </c>
      <c r="R878" s="408"/>
      <c r="S878" s="408"/>
      <c r="T878" s="408"/>
      <c r="U878" s="408"/>
      <c r="V878" s="408"/>
      <c r="W878" s="408"/>
      <c r="X878" s="408"/>
      <c r="Y878" s="408"/>
      <c r="Z878" s="408"/>
      <c r="AA878" s="408">
        <f t="shared" si="110"/>
        <v>116049.77</v>
      </c>
    </row>
    <row r="879" spans="1:27" s="362" customFormat="1" ht="31.5">
      <c r="A879" s="569"/>
      <c r="B879" s="569"/>
      <c r="C879" s="306"/>
      <c r="D879" s="13" t="s">
        <v>306</v>
      </c>
      <c r="E879" s="292"/>
      <c r="F879" s="143"/>
      <c r="G879" s="292"/>
      <c r="H879" s="428">
        <v>3142</v>
      </c>
      <c r="I879" s="307">
        <v>105192.87</v>
      </c>
      <c r="J879" s="307"/>
      <c r="K879" s="307"/>
      <c r="L879" s="76"/>
      <c r="M879" s="76">
        <v>105192.87</v>
      </c>
      <c r="N879" s="408"/>
      <c r="O879" s="408"/>
      <c r="P879" s="408"/>
      <c r="Q879" s="76">
        <v>105192.87</v>
      </c>
      <c r="R879" s="408"/>
      <c r="S879" s="408"/>
      <c r="T879" s="408"/>
      <c r="U879" s="408"/>
      <c r="V879" s="408"/>
      <c r="W879" s="408"/>
      <c r="X879" s="408"/>
      <c r="Y879" s="408"/>
      <c r="Z879" s="408"/>
      <c r="AA879" s="408">
        <f t="shared" si="110"/>
        <v>105192.87</v>
      </c>
    </row>
    <row r="880" spans="1:27" s="362" customFormat="1" ht="31.5">
      <c r="A880" s="569"/>
      <c r="B880" s="569"/>
      <c r="C880" s="306"/>
      <c r="D880" s="13" t="s">
        <v>307</v>
      </c>
      <c r="E880" s="292"/>
      <c r="F880" s="143"/>
      <c r="G880" s="292"/>
      <c r="H880" s="428">
        <v>3142</v>
      </c>
      <c r="I880" s="307">
        <v>30000</v>
      </c>
      <c r="J880" s="307"/>
      <c r="K880" s="307"/>
      <c r="L880" s="76"/>
      <c r="M880" s="76">
        <v>30000</v>
      </c>
      <c r="N880" s="408"/>
      <c r="O880" s="408"/>
      <c r="P880" s="408"/>
      <c r="Q880" s="408"/>
      <c r="R880" s="76">
        <v>30000</v>
      </c>
      <c r="S880" s="408"/>
      <c r="T880" s="408"/>
      <c r="U880" s="408"/>
      <c r="V880" s="408"/>
      <c r="W880" s="408"/>
      <c r="X880" s="408"/>
      <c r="Y880" s="408"/>
      <c r="Z880" s="408"/>
      <c r="AA880" s="408">
        <f t="shared" si="110"/>
        <v>30000</v>
      </c>
    </row>
    <row r="881" spans="1:27" s="362" customFormat="1" ht="31.5">
      <c r="A881" s="569"/>
      <c r="B881" s="569"/>
      <c r="C881" s="306"/>
      <c r="D881" s="13" t="s">
        <v>308</v>
      </c>
      <c r="E881" s="292"/>
      <c r="F881" s="143"/>
      <c r="G881" s="292"/>
      <c r="H881" s="428">
        <v>3142</v>
      </c>
      <c r="I881" s="307">
        <v>30000</v>
      </c>
      <c r="J881" s="307"/>
      <c r="K881" s="307"/>
      <c r="L881" s="76"/>
      <c r="M881" s="76">
        <v>30000</v>
      </c>
      <c r="N881" s="408"/>
      <c r="O881" s="408"/>
      <c r="P881" s="408"/>
      <c r="Q881" s="408"/>
      <c r="R881" s="76">
        <v>30000</v>
      </c>
      <c r="S881" s="408"/>
      <c r="T881" s="408"/>
      <c r="U881" s="408"/>
      <c r="V881" s="408"/>
      <c r="W881" s="408"/>
      <c r="X881" s="408"/>
      <c r="Y881" s="408"/>
      <c r="Z881" s="408"/>
      <c r="AA881" s="408">
        <f t="shared" si="110"/>
        <v>30000</v>
      </c>
    </row>
    <row r="882" spans="1:27" s="362" customFormat="1" ht="31.5">
      <c r="A882" s="569"/>
      <c r="B882" s="569"/>
      <c r="C882" s="306"/>
      <c r="D882" s="13" t="s">
        <v>241</v>
      </c>
      <c r="E882" s="292"/>
      <c r="F882" s="143"/>
      <c r="G882" s="292"/>
      <c r="H882" s="428">
        <v>3122</v>
      </c>
      <c r="I882" s="307">
        <v>80000</v>
      </c>
      <c r="J882" s="307"/>
      <c r="K882" s="307"/>
      <c r="L882" s="76"/>
      <c r="M882" s="76">
        <v>80000</v>
      </c>
      <c r="N882" s="408"/>
      <c r="O882" s="408"/>
      <c r="P882" s="408"/>
      <c r="Q882" s="408"/>
      <c r="R882" s="408"/>
      <c r="S882" s="408">
        <v>80000</v>
      </c>
      <c r="T882" s="408"/>
      <c r="U882" s="408"/>
      <c r="V882" s="408"/>
      <c r="W882" s="408"/>
      <c r="X882" s="408"/>
      <c r="Y882" s="408"/>
      <c r="Z882" s="408"/>
      <c r="AA882" s="408">
        <f t="shared" si="110"/>
        <v>80000</v>
      </c>
    </row>
    <row r="883" spans="1:27" s="362" customFormat="1" ht="31.5">
      <c r="A883" s="569"/>
      <c r="B883" s="569"/>
      <c r="C883" s="306"/>
      <c r="D883" s="13" t="s">
        <v>309</v>
      </c>
      <c r="E883" s="292"/>
      <c r="F883" s="143"/>
      <c r="G883" s="292"/>
      <c r="H883" s="428">
        <v>3142</v>
      </c>
      <c r="I883" s="307">
        <v>300000</v>
      </c>
      <c r="J883" s="307"/>
      <c r="K883" s="307"/>
      <c r="L883" s="76"/>
      <c r="M883" s="76">
        <v>300000</v>
      </c>
      <c r="N883" s="408"/>
      <c r="O883" s="408"/>
      <c r="P883" s="408"/>
      <c r="Q883" s="408"/>
      <c r="R883" s="408">
        <v>20000</v>
      </c>
      <c r="S883" s="408"/>
      <c r="T883" s="408">
        <v>140000</v>
      </c>
      <c r="U883" s="408">
        <v>140000</v>
      </c>
      <c r="V883" s="408"/>
      <c r="W883" s="408"/>
      <c r="X883" s="408"/>
      <c r="Y883" s="408"/>
      <c r="Z883" s="408"/>
      <c r="AA883" s="408">
        <f t="shared" si="110"/>
        <v>300000</v>
      </c>
    </row>
    <row r="884" spans="1:27" s="362" customFormat="1" ht="15.75">
      <c r="A884" s="569"/>
      <c r="B884" s="569"/>
      <c r="C884" s="306"/>
      <c r="D884" s="14" t="s">
        <v>715</v>
      </c>
      <c r="E884" s="292"/>
      <c r="F884" s="143"/>
      <c r="G884" s="292"/>
      <c r="H884" s="428">
        <v>3122</v>
      </c>
      <c r="I884" s="307">
        <v>30000</v>
      </c>
      <c r="J884" s="307"/>
      <c r="K884" s="307"/>
      <c r="L884" s="76"/>
      <c r="M884" s="76">
        <v>30000</v>
      </c>
      <c r="N884" s="408"/>
      <c r="O884" s="408"/>
      <c r="P884" s="408"/>
      <c r="Q884" s="408"/>
      <c r="R884" s="408">
        <v>30000</v>
      </c>
      <c r="S884" s="408"/>
      <c r="T884" s="408"/>
      <c r="U884" s="408"/>
      <c r="V884" s="408"/>
      <c r="W884" s="408"/>
      <c r="X884" s="408"/>
      <c r="Y884" s="408"/>
      <c r="Z884" s="408"/>
      <c r="AA884" s="408">
        <f t="shared" si="110"/>
        <v>30000</v>
      </c>
    </row>
    <row r="885" spans="1:27" s="362" customFormat="1" ht="31.5">
      <c r="A885" s="569"/>
      <c r="B885" s="569"/>
      <c r="C885" s="306"/>
      <c r="D885" s="14" t="s">
        <v>716</v>
      </c>
      <c r="E885" s="292"/>
      <c r="F885" s="143"/>
      <c r="G885" s="292"/>
      <c r="H885" s="428">
        <v>3122</v>
      </c>
      <c r="I885" s="307">
        <v>30000</v>
      </c>
      <c r="J885" s="307"/>
      <c r="K885" s="307"/>
      <c r="L885" s="76"/>
      <c r="M885" s="76">
        <v>30000</v>
      </c>
      <c r="N885" s="408"/>
      <c r="O885" s="408"/>
      <c r="P885" s="408"/>
      <c r="Q885" s="408"/>
      <c r="R885" s="408">
        <v>5000</v>
      </c>
      <c r="S885" s="408">
        <f>25000-25000</f>
        <v>0</v>
      </c>
      <c r="T885" s="408"/>
      <c r="U885" s="408"/>
      <c r="V885" s="408"/>
      <c r="W885" s="408"/>
      <c r="X885" s="408"/>
      <c r="Y885" s="408">
        <v>25000</v>
      </c>
      <c r="Z885" s="408"/>
      <c r="AA885" s="408">
        <f t="shared" si="110"/>
        <v>5000</v>
      </c>
    </row>
    <row r="886" spans="1:27" s="362" customFormat="1" ht="18.75" customHeight="1">
      <c r="A886" s="569"/>
      <c r="B886" s="569"/>
      <c r="C886" s="306"/>
      <c r="D886" s="14" t="s">
        <v>717</v>
      </c>
      <c r="E886" s="292"/>
      <c r="F886" s="143"/>
      <c r="G886" s="292"/>
      <c r="H886" s="428">
        <v>3122</v>
      </c>
      <c r="I886" s="307">
        <v>30000</v>
      </c>
      <c r="J886" s="307"/>
      <c r="K886" s="307"/>
      <c r="L886" s="76"/>
      <c r="M886" s="76">
        <v>30000</v>
      </c>
      <c r="N886" s="408"/>
      <c r="O886" s="408"/>
      <c r="P886" s="408"/>
      <c r="Q886" s="408"/>
      <c r="R886" s="408">
        <v>5000</v>
      </c>
      <c r="S886" s="408">
        <f>12500-12500</f>
        <v>0</v>
      </c>
      <c r="T886" s="408">
        <f>12500-12500</f>
        <v>0</v>
      </c>
      <c r="U886" s="408"/>
      <c r="V886" s="408"/>
      <c r="W886" s="408"/>
      <c r="X886" s="408"/>
      <c r="Y886" s="408">
        <v>25000</v>
      </c>
      <c r="Z886" s="408"/>
      <c r="AA886" s="408">
        <f t="shared" si="110"/>
        <v>5000</v>
      </c>
    </row>
    <row r="887" spans="1:27" s="362" customFormat="1" ht="31.5">
      <c r="A887" s="569"/>
      <c r="B887" s="569"/>
      <c r="C887" s="306"/>
      <c r="D887" s="14" t="s">
        <v>718</v>
      </c>
      <c r="E887" s="292"/>
      <c r="F887" s="143"/>
      <c r="G887" s="292"/>
      <c r="H887" s="428">
        <v>3122</v>
      </c>
      <c r="I887" s="307">
        <v>120000</v>
      </c>
      <c r="J887" s="307"/>
      <c r="K887" s="307"/>
      <c r="L887" s="49"/>
      <c r="M887" s="49">
        <v>120000</v>
      </c>
      <c r="N887" s="408"/>
      <c r="O887" s="408"/>
      <c r="P887" s="408"/>
      <c r="Q887" s="408"/>
      <c r="R887" s="408">
        <v>6000</v>
      </c>
      <c r="S887" s="408">
        <f>114000-114000</f>
        <v>0</v>
      </c>
      <c r="T887" s="408"/>
      <c r="U887" s="408"/>
      <c r="V887" s="408"/>
      <c r="W887" s="408"/>
      <c r="X887" s="408">
        <v>2500</v>
      </c>
      <c r="Y887" s="408">
        <v>111500</v>
      </c>
      <c r="Z887" s="408"/>
      <c r="AA887" s="408">
        <f t="shared" si="110"/>
        <v>6000</v>
      </c>
    </row>
    <row r="888" spans="1:27" s="362" customFormat="1" ht="31.5">
      <c r="A888" s="569"/>
      <c r="B888" s="569"/>
      <c r="C888" s="306"/>
      <c r="D888" s="14" t="s">
        <v>719</v>
      </c>
      <c r="E888" s="292"/>
      <c r="F888" s="143"/>
      <c r="G888" s="292"/>
      <c r="H888" s="428">
        <v>3122</v>
      </c>
      <c r="I888" s="307">
        <v>150000</v>
      </c>
      <c r="J888" s="307"/>
      <c r="K888" s="307"/>
      <c r="L888" s="49"/>
      <c r="M888" s="49">
        <v>150000</v>
      </c>
      <c r="N888" s="408"/>
      <c r="O888" s="408"/>
      <c r="P888" s="408"/>
      <c r="Q888" s="408"/>
      <c r="R888" s="408"/>
      <c r="S888" s="408"/>
      <c r="T888" s="408">
        <v>30000</v>
      </c>
      <c r="U888" s="408">
        <f>120000-120000</f>
        <v>0</v>
      </c>
      <c r="V888" s="408"/>
      <c r="W888" s="408"/>
      <c r="X888" s="408"/>
      <c r="Y888" s="408">
        <v>120000</v>
      </c>
      <c r="Z888" s="408"/>
      <c r="AA888" s="408">
        <f t="shared" si="110"/>
        <v>30000</v>
      </c>
    </row>
    <row r="889" spans="1:27" s="362" customFormat="1" ht="31.5">
      <c r="A889" s="569"/>
      <c r="B889" s="569"/>
      <c r="C889" s="306"/>
      <c r="D889" s="374" t="s">
        <v>720</v>
      </c>
      <c r="E889" s="292"/>
      <c r="F889" s="143"/>
      <c r="G889" s="292"/>
      <c r="H889" s="428">
        <v>3122</v>
      </c>
      <c r="I889" s="307">
        <v>30000</v>
      </c>
      <c r="J889" s="307"/>
      <c r="K889" s="307"/>
      <c r="L889" s="49"/>
      <c r="M889" s="49">
        <v>30000</v>
      </c>
      <c r="N889" s="408"/>
      <c r="O889" s="408"/>
      <c r="P889" s="408"/>
      <c r="Q889" s="408"/>
      <c r="R889" s="408"/>
      <c r="S889" s="408"/>
      <c r="T889" s="408"/>
      <c r="U889" s="408">
        <v>5000</v>
      </c>
      <c r="V889" s="408">
        <f>25000-25000</f>
        <v>0</v>
      </c>
      <c r="W889" s="408"/>
      <c r="X889" s="408"/>
      <c r="Y889" s="408">
        <v>25000</v>
      </c>
      <c r="Z889" s="408"/>
      <c r="AA889" s="408">
        <f t="shared" si="110"/>
        <v>5000</v>
      </c>
    </row>
    <row r="890" spans="1:27" s="362" customFormat="1" ht="31.5">
      <c r="A890" s="569"/>
      <c r="B890" s="569"/>
      <c r="C890" s="306"/>
      <c r="D890" s="13" t="s">
        <v>721</v>
      </c>
      <c r="E890" s="292"/>
      <c r="F890" s="143"/>
      <c r="G890" s="292"/>
      <c r="H890" s="428">
        <v>3142</v>
      </c>
      <c r="I890" s="307">
        <v>40000</v>
      </c>
      <c r="J890" s="307"/>
      <c r="K890" s="307"/>
      <c r="L890" s="475"/>
      <c r="M890" s="475">
        <v>40000</v>
      </c>
      <c r="N890" s="408"/>
      <c r="O890" s="408"/>
      <c r="P890" s="408"/>
      <c r="Q890" s="408"/>
      <c r="R890" s="408">
        <v>40000</v>
      </c>
      <c r="S890" s="408"/>
      <c r="T890" s="408"/>
      <c r="U890" s="408"/>
      <c r="V890" s="408"/>
      <c r="W890" s="408"/>
      <c r="X890" s="408"/>
      <c r="Y890" s="408"/>
      <c r="Z890" s="408">
        <f>2226.3+2968.4</f>
        <v>5194.7</v>
      </c>
      <c r="AA890" s="408">
        <f t="shared" si="110"/>
        <v>34805.3</v>
      </c>
    </row>
    <row r="891" spans="1:27" s="362" customFormat="1" ht="31.5">
      <c r="A891" s="569"/>
      <c r="B891" s="569"/>
      <c r="C891" s="306"/>
      <c r="D891" s="14" t="s">
        <v>1498</v>
      </c>
      <c r="E891" s="292"/>
      <c r="F891" s="143"/>
      <c r="G891" s="292"/>
      <c r="H891" s="428">
        <v>3122</v>
      </c>
      <c r="I891" s="307">
        <v>30000</v>
      </c>
      <c r="J891" s="307"/>
      <c r="K891" s="307"/>
      <c r="L891" s="49"/>
      <c r="M891" s="49">
        <v>30000</v>
      </c>
      <c r="N891" s="408"/>
      <c r="O891" s="408"/>
      <c r="P891" s="408"/>
      <c r="Q891" s="408"/>
      <c r="R891" s="408">
        <v>5000</v>
      </c>
      <c r="S891" s="408">
        <v>25000</v>
      </c>
      <c r="T891" s="408"/>
      <c r="U891" s="408"/>
      <c r="V891" s="408"/>
      <c r="W891" s="408"/>
      <c r="X891" s="408"/>
      <c r="Y891" s="408"/>
      <c r="Z891" s="408"/>
      <c r="AA891" s="408">
        <f t="shared" si="110"/>
        <v>30000</v>
      </c>
    </row>
    <row r="892" spans="1:27" s="362" customFormat="1" ht="31.5">
      <c r="A892" s="569"/>
      <c r="B892" s="569"/>
      <c r="C892" s="306"/>
      <c r="D892" s="13" t="s">
        <v>1499</v>
      </c>
      <c r="E892" s="292"/>
      <c r="F892" s="143"/>
      <c r="G892" s="292"/>
      <c r="H892" s="428">
        <v>3122</v>
      </c>
      <c r="I892" s="307">
        <v>15000</v>
      </c>
      <c r="J892" s="307"/>
      <c r="K892" s="307"/>
      <c r="L892" s="49"/>
      <c r="M892" s="49">
        <v>15000</v>
      </c>
      <c r="N892" s="408"/>
      <c r="O892" s="408"/>
      <c r="P892" s="408"/>
      <c r="Q892" s="408"/>
      <c r="R892" s="408">
        <v>5000</v>
      </c>
      <c r="S892" s="408">
        <v>10000</v>
      </c>
      <c r="T892" s="408"/>
      <c r="U892" s="408"/>
      <c r="V892" s="408"/>
      <c r="W892" s="408"/>
      <c r="X892" s="408"/>
      <c r="Y892" s="408"/>
      <c r="Z892" s="408"/>
      <c r="AA892" s="408">
        <f t="shared" si="110"/>
        <v>15000</v>
      </c>
    </row>
    <row r="893" spans="1:27" s="362" customFormat="1" ht="31.5">
      <c r="A893" s="569"/>
      <c r="B893" s="569"/>
      <c r="C893" s="306"/>
      <c r="D893" s="14" t="s">
        <v>1500</v>
      </c>
      <c r="E893" s="292"/>
      <c r="F893" s="143"/>
      <c r="G893" s="292"/>
      <c r="H893" s="428">
        <v>3142</v>
      </c>
      <c r="I893" s="307">
        <v>40000</v>
      </c>
      <c r="J893" s="307"/>
      <c r="K893" s="307"/>
      <c r="L893" s="49"/>
      <c r="M893" s="49">
        <v>40000</v>
      </c>
      <c r="N893" s="408"/>
      <c r="O893" s="408"/>
      <c r="P893" s="408"/>
      <c r="Q893" s="408"/>
      <c r="R893" s="408"/>
      <c r="S893" s="408"/>
      <c r="T893" s="408">
        <v>5000</v>
      </c>
      <c r="U893" s="408">
        <v>35000</v>
      </c>
      <c r="V893" s="408"/>
      <c r="W893" s="408"/>
      <c r="X893" s="408"/>
      <c r="Y893" s="408"/>
      <c r="Z893" s="408"/>
      <c r="AA893" s="408">
        <f t="shared" si="110"/>
        <v>40000</v>
      </c>
    </row>
    <row r="894" spans="1:27" s="362" customFormat="1" ht="31.5">
      <c r="A894" s="569"/>
      <c r="B894" s="569"/>
      <c r="C894" s="306"/>
      <c r="D894" s="13" t="s">
        <v>1554</v>
      </c>
      <c r="E894" s="292"/>
      <c r="F894" s="143"/>
      <c r="G894" s="292"/>
      <c r="H894" s="428">
        <v>3142</v>
      </c>
      <c r="I894" s="307">
        <v>173134.42</v>
      </c>
      <c r="J894" s="307"/>
      <c r="K894" s="307"/>
      <c r="L894" s="49"/>
      <c r="M894" s="49">
        <v>173134.42</v>
      </c>
      <c r="N894" s="408"/>
      <c r="O894" s="408"/>
      <c r="P894" s="408"/>
      <c r="Q894" s="408"/>
      <c r="R894" s="408">
        <v>50000</v>
      </c>
      <c r="S894" s="408">
        <v>50000</v>
      </c>
      <c r="T894" s="408">
        <v>73134.42</v>
      </c>
      <c r="U894" s="408"/>
      <c r="V894" s="408"/>
      <c r="W894" s="408"/>
      <c r="X894" s="408"/>
      <c r="Y894" s="408"/>
      <c r="Z894" s="408"/>
      <c r="AA894" s="408">
        <f t="shared" si="110"/>
        <v>173134.42</v>
      </c>
    </row>
    <row r="895" spans="1:27" s="362" customFormat="1" ht="31.5">
      <c r="A895" s="569"/>
      <c r="B895" s="569"/>
      <c r="C895" s="306"/>
      <c r="D895" s="14" t="s">
        <v>1555</v>
      </c>
      <c r="E895" s="292"/>
      <c r="F895" s="143"/>
      <c r="G895" s="292"/>
      <c r="H895" s="428">
        <v>3142</v>
      </c>
      <c r="I895" s="307">
        <v>328000</v>
      </c>
      <c r="J895" s="307"/>
      <c r="K895" s="307"/>
      <c r="L895" s="49"/>
      <c r="M895" s="49">
        <v>328000</v>
      </c>
      <c r="N895" s="408"/>
      <c r="O895" s="408"/>
      <c r="P895" s="408"/>
      <c r="Q895" s="408"/>
      <c r="R895" s="408">
        <v>164000</v>
      </c>
      <c r="S895" s="408">
        <v>164000</v>
      </c>
      <c r="T895" s="408"/>
      <c r="U895" s="408"/>
      <c r="V895" s="408"/>
      <c r="W895" s="408"/>
      <c r="X895" s="408"/>
      <c r="Y895" s="408"/>
      <c r="Z895" s="408"/>
      <c r="AA895" s="408">
        <f t="shared" si="110"/>
        <v>328000</v>
      </c>
    </row>
    <row r="896" spans="1:27" s="362" customFormat="1" ht="31.5">
      <c r="A896" s="569"/>
      <c r="B896" s="569"/>
      <c r="C896" s="306"/>
      <c r="D896" s="14" t="s">
        <v>1556</v>
      </c>
      <c r="E896" s="292"/>
      <c r="F896" s="143"/>
      <c r="G896" s="292"/>
      <c r="H896" s="428">
        <v>3122</v>
      </c>
      <c r="I896" s="307">
        <v>602400</v>
      </c>
      <c r="J896" s="307"/>
      <c r="K896" s="307"/>
      <c r="L896" s="49"/>
      <c r="M896" s="49">
        <v>602400</v>
      </c>
      <c r="N896" s="408"/>
      <c r="O896" s="408"/>
      <c r="P896" s="408"/>
      <c r="Q896" s="408">
        <f>602400-580000</f>
        <v>22400</v>
      </c>
      <c r="R896" s="408"/>
      <c r="S896" s="408"/>
      <c r="T896" s="408"/>
      <c r="U896" s="408"/>
      <c r="V896" s="408"/>
      <c r="W896" s="408"/>
      <c r="X896" s="408"/>
      <c r="Y896" s="408">
        <v>580000</v>
      </c>
      <c r="Z896" s="408"/>
      <c r="AA896" s="408">
        <f t="shared" si="110"/>
        <v>22400</v>
      </c>
    </row>
    <row r="897" spans="1:27" s="362" customFormat="1" ht="31.5">
      <c r="A897" s="569"/>
      <c r="B897" s="569"/>
      <c r="C897" s="306"/>
      <c r="D897" s="14" t="s">
        <v>239</v>
      </c>
      <c r="E897" s="292"/>
      <c r="F897" s="143"/>
      <c r="G897" s="292"/>
      <c r="H897" s="428">
        <v>3122</v>
      </c>
      <c r="I897" s="307">
        <v>450000</v>
      </c>
      <c r="J897" s="307"/>
      <c r="K897" s="307"/>
      <c r="L897" s="49"/>
      <c r="M897" s="49">
        <v>450000</v>
      </c>
      <c r="N897" s="408"/>
      <c r="O897" s="408"/>
      <c r="P897" s="408"/>
      <c r="Q897" s="408"/>
      <c r="R897" s="408"/>
      <c r="S897" s="408">
        <v>225000</v>
      </c>
      <c r="T897" s="408">
        <v>225000</v>
      </c>
      <c r="U897" s="408"/>
      <c r="V897" s="408"/>
      <c r="W897" s="408"/>
      <c r="X897" s="408"/>
      <c r="Y897" s="408"/>
      <c r="Z897" s="408"/>
      <c r="AA897" s="408">
        <f t="shared" si="110"/>
        <v>450000</v>
      </c>
    </row>
    <row r="898" spans="1:27" s="362" customFormat="1" ht="31.5">
      <c r="A898" s="569"/>
      <c r="B898" s="569"/>
      <c r="C898" s="306"/>
      <c r="D898" s="14" t="s">
        <v>683</v>
      </c>
      <c r="E898" s="292"/>
      <c r="F898" s="143"/>
      <c r="G898" s="292"/>
      <c r="H898" s="428">
        <v>3142</v>
      </c>
      <c r="I898" s="307">
        <v>80000</v>
      </c>
      <c r="J898" s="307"/>
      <c r="K898" s="307"/>
      <c r="L898" s="49"/>
      <c r="M898" s="49">
        <v>80000</v>
      </c>
      <c r="N898" s="408"/>
      <c r="O898" s="408"/>
      <c r="P898" s="408"/>
      <c r="Q898" s="408"/>
      <c r="R898" s="408">
        <v>10000</v>
      </c>
      <c r="S898" s="408"/>
      <c r="T898" s="408">
        <v>35000</v>
      </c>
      <c r="U898" s="408">
        <v>35000</v>
      </c>
      <c r="V898" s="408"/>
      <c r="W898" s="408"/>
      <c r="X898" s="408"/>
      <c r="Y898" s="408"/>
      <c r="Z898" s="408"/>
      <c r="AA898" s="408">
        <f t="shared" si="110"/>
        <v>80000</v>
      </c>
    </row>
    <row r="899" spans="1:27" s="362" customFormat="1" ht="18.75" customHeight="1">
      <c r="A899" s="569"/>
      <c r="B899" s="569"/>
      <c r="C899" s="306"/>
      <c r="D899" s="14" t="s">
        <v>1564</v>
      </c>
      <c r="E899" s="292"/>
      <c r="F899" s="143"/>
      <c r="G899" s="292"/>
      <c r="H899" s="428">
        <v>3122</v>
      </c>
      <c r="I899" s="307">
        <v>100000</v>
      </c>
      <c r="J899" s="307"/>
      <c r="K899" s="307"/>
      <c r="L899" s="76"/>
      <c r="M899" s="76">
        <v>100000</v>
      </c>
      <c r="N899" s="408"/>
      <c r="O899" s="408"/>
      <c r="P899" s="408"/>
      <c r="Q899" s="408"/>
      <c r="R899" s="408"/>
      <c r="S899" s="408"/>
      <c r="T899" s="408">
        <v>30000</v>
      </c>
      <c r="U899" s="408">
        <v>30000</v>
      </c>
      <c r="V899" s="408">
        <v>40000</v>
      </c>
      <c r="W899" s="408"/>
      <c r="X899" s="408"/>
      <c r="Y899" s="408"/>
      <c r="Z899" s="408"/>
      <c r="AA899" s="408">
        <f t="shared" si="110"/>
        <v>60000</v>
      </c>
    </row>
    <row r="900" spans="1:27" s="362" customFormat="1" ht="16.5" customHeight="1">
      <c r="A900" s="569"/>
      <c r="B900" s="569"/>
      <c r="C900" s="306"/>
      <c r="D900" s="14" t="s">
        <v>1565</v>
      </c>
      <c r="E900" s="292"/>
      <c r="F900" s="143"/>
      <c r="G900" s="292"/>
      <c r="H900" s="428">
        <v>3142</v>
      </c>
      <c r="I900" s="307">
        <v>24000</v>
      </c>
      <c r="J900" s="307"/>
      <c r="K900" s="307"/>
      <c r="L900" s="76"/>
      <c r="M900" s="76">
        <v>24000</v>
      </c>
      <c r="N900" s="408"/>
      <c r="O900" s="408"/>
      <c r="P900" s="408"/>
      <c r="Q900" s="408"/>
      <c r="R900" s="408">
        <v>24000</v>
      </c>
      <c r="S900" s="408"/>
      <c r="T900" s="408"/>
      <c r="U900" s="408"/>
      <c r="V900" s="408"/>
      <c r="W900" s="408"/>
      <c r="X900" s="408"/>
      <c r="Y900" s="408"/>
      <c r="Z900" s="408"/>
      <c r="AA900" s="408">
        <f t="shared" si="110"/>
        <v>24000</v>
      </c>
    </row>
    <row r="901" spans="1:27" s="362" customFormat="1" ht="31.5">
      <c r="A901" s="569"/>
      <c r="B901" s="569"/>
      <c r="C901" s="306"/>
      <c r="D901" s="14" t="s">
        <v>1566</v>
      </c>
      <c r="E901" s="292"/>
      <c r="F901" s="143"/>
      <c r="G901" s="292"/>
      <c r="H901" s="428">
        <v>3142</v>
      </c>
      <c r="I901" s="307">
        <v>50000</v>
      </c>
      <c r="J901" s="307"/>
      <c r="K901" s="307"/>
      <c r="L901" s="76"/>
      <c r="M901" s="76">
        <v>50000</v>
      </c>
      <c r="N901" s="408"/>
      <c r="O901" s="408"/>
      <c r="P901" s="408"/>
      <c r="Q901" s="408">
        <v>5000</v>
      </c>
      <c r="R901" s="408"/>
      <c r="S901" s="408">
        <v>45000</v>
      </c>
      <c r="T901" s="408"/>
      <c r="U901" s="408"/>
      <c r="V901" s="408"/>
      <c r="W901" s="408"/>
      <c r="X901" s="408"/>
      <c r="Y901" s="408"/>
      <c r="Z901" s="408"/>
      <c r="AA901" s="408">
        <f t="shared" si="110"/>
        <v>50000</v>
      </c>
    </row>
    <row r="902" spans="1:27" s="362" customFormat="1" ht="15.75">
      <c r="A902" s="569"/>
      <c r="B902" s="569"/>
      <c r="C902" s="306"/>
      <c r="D902" s="14" t="s">
        <v>1567</v>
      </c>
      <c r="E902" s="292"/>
      <c r="F902" s="143"/>
      <c r="G902" s="292"/>
      <c r="H902" s="428">
        <v>3122</v>
      </c>
      <c r="I902" s="307">
        <v>200000</v>
      </c>
      <c r="J902" s="307"/>
      <c r="K902" s="307"/>
      <c r="L902" s="76"/>
      <c r="M902" s="76">
        <v>200000</v>
      </c>
      <c r="N902" s="408"/>
      <c r="O902" s="408"/>
      <c r="P902" s="408"/>
      <c r="Q902" s="408"/>
      <c r="R902" s="408"/>
      <c r="S902" s="408"/>
      <c r="T902" s="408"/>
      <c r="U902" s="408"/>
      <c r="V902" s="408"/>
      <c r="W902" s="408">
        <f>200000-200000</f>
        <v>0</v>
      </c>
      <c r="X902" s="408"/>
      <c r="Y902" s="408">
        <v>200000</v>
      </c>
      <c r="Z902" s="408"/>
      <c r="AA902" s="408">
        <f t="shared" si="110"/>
        <v>0</v>
      </c>
    </row>
    <row r="903" spans="1:27" s="362" customFormat="1" ht="31.5">
      <c r="A903" s="569"/>
      <c r="B903" s="569"/>
      <c r="C903" s="306"/>
      <c r="D903" s="374" t="s">
        <v>1526</v>
      </c>
      <c r="E903" s="292"/>
      <c r="F903" s="143"/>
      <c r="G903" s="292"/>
      <c r="H903" s="428">
        <v>3142</v>
      </c>
      <c r="I903" s="307">
        <v>30000</v>
      </c>
      <c r="J903" s="307"/>
      <c r="K903" s="307"/>
      <c r="L903" s="76"/>
      <c r="M903" s="76">
        <v>30000</v>
      </c>
      <c r="N903" s="408"/>
      <c r="O903" s="408"/>
      <c r="P903" s="408"/>
      <c r="Q903" s="408"/>
      <c r="R903" s="408">
        <v>5000</v>
      </c>
      <c r="S903" s="408"/>
      <c r="T903" s="408"/>
      <c r="U903" s="408">
        <v>25000</v>
      </c>
      <c r="V903" s="408"/>
      <c r="W903" s="408"/>
      <c r="X903" s="408"/>
      <c r="Y903" s="408"/>
      <c r="Z903" s="408"/>
      <c r="AA903" s="408">
        <f t="shared" si="110"/>
        <v>30000</v>
      </c>
    </row>
    <row r="904" spans="1:27" s="362" customFormat="1" ht="31.5">
      <c r="A904" s="569"/>
      <c r="B904" s="569"/>
      <c r="C904" s="306"/>
      <c r="D904" s="374" t="s">
        <v>238</v>
      </c>
      <c r="E904" s="292"/>
      <c r="F904" s="143"/>
      <c r="G904" s="292"/>
      <c r="H904" s="428">
        <v>3142</v>
      </c>
      <c r="I904" s="307">
        <v>30000</v>
      </c>
      <c r="J904" s="307"/>
      <c r="K904" s="307"/>
      <c r="L904" s="76"/>
      <c r="M904" s="76">
        <v>30000</v>
      </c>
      <c r="N904" s="408"/>
      <c r="O904" s="408"/>
      <c r="P904" s="408"/>
      <c r="Q904" s="408"/>
      <c r="R904" s="408">
        <v>5000</v>
      </c>
      <c r="S904" s="408"/>
      <c r="T904" s="408"/>
      <c r="U904" s="408">
        <v>25000</v>
      </c>
      <c r="V904" s="408"/>
      <c r="W904" s="408"/>
      <c r="X904" s="408"/>
      <c r="Y904" s="408"/>
      <c r="Z904" s="408"/>
      <c r="AA904" s="408">
        <f t="shared" si="110"/>
        <v>30000</v>
      </c>
    </row>
    <row r="905" spans="1:27" s="362" customFormat="1" ht="47.25">
      <c r="A905" s="569"/>
      <c r="B905" s="569"/>
      <c r="C905" s="306"/>
      <c r="D905" s="13" t="s">
        <v>1527</v>
      </c>
      <c r="E905" s="292"/>
      <c r="F905" s="143"/>
      <c r="G905" s="292"/>
      <c r="H905" s="428">
        <v>3122</v>
      </c>
      <c r="I905" s="307">
        <v>90000</v>
      </c>
      <c r="J905" s="307"/>
      <c r="K905" s="307"/>
      <c r="L905" s="76"/>
      <c r="M905" s="76">
        <v>90000</v>
      </c>
      <c r="N905" s="408"/>
      <c r="O905" s="408"/>
      <c r="P905" s="408"/>
      <c r="Q905" s="408"/>
      <c r="R905" s="408"/>
      <c r="S905" s="408"/>
      <c r="T905" s="408"/>
      <c r="U905" s="408"/>
      <c r="V905" s="408"/>
      <c r="W905" s="408">
        <f>90000-90000</f>
        <v>0</v>
      </c>
      <c r="X905" s="408"/>
      <c r="Y905" s="408">
        <v>90000</v>
      </c>
      <c r="Z905" s="408"/>
      <c r="AA905" s="408">
        <f t="shared" si="110"/>
        <v>0</v>
      </c>
    </row>
    <row r="906" spans="1:27" s="362" customFormat="1" ht="31.5">
      <c r="A906" s="569"/>
      <c r="B906" s="569"/>
      <c r="C906" s="306"/>
      <c r="D906" s="376" t="s">
        <v>272</v>
      </c>
      <c r="E906" s="292"/>
      <c r="F906" s="143"/>
      <c r="G906" s="292"/>
      <c r="H906" s="428">
        <v>3122</v>
      </c>
      <c r="I906" s="307">
        <v>54500</v>
      </c>
      <c r="J906" s="307"/>
      <c r="K906" s="307"/>
      <c r="L906" s="76"/>
      <c r="M906" s="76">
        <v>54500</v>
      </c>
      <c r="N906" s="408"/>
      <c r="O906" s="408"/>
      <c r="P906" s="408"/>
      <c r="Q906" s="408"/>
      <c r="R906" s="408">
        <v>54500</v>
      </c>
      <c r="S906" s="408"/>
      <c r="T906" s="408"/>
      <c r="U906" s="408"/>
      <c r="V906" s="408"/>
      <c r="W906" s="408"/>
      <c r="X906" s="408"/>
      <c r="Y906" s="408"/>
      <c r="Z906" s="408"/>
      <c r="AA906" s="408">
        <f t="shared" si="110"/>
        <v>54500</v>
      </c>
    </row>
    <row r="907" spans="1:27" s="362" customFormat="1" ht="31.5">
      <c r="A907" s="569"/>
      <c r="B907" s="569"/>
      <c r="C907" s="306"/>
      <c r="D907" s="376" t="s">
        <v>339</v>
      </c>
      <c r="E907" s="292"/>
      <c r="F907" s="143"/>
      <c r="G907" s="292"/>
      <c r="H907" s="428">
        <v>3142</v>
      </c>
      <c r="I907" s="307">
        <v>43000</v>
      </c>
      <c r="J907" s="307"/>
      <c r="K907" s="307"/>
      <c r="L907" s="76"/>
      <c r="M907" s="76">
        <v>43000</v>
      </c>
      <c r="N907" s="408"/>
      <c r="O907" s="408"/>
      <c r="P907" s="408"/>
      <c r="Q907" s="408"/>
      <c r="R907" s="408"/>
      <c r="S907" s="408">
        <v>15000</v>
      </c>
      <c r="T907" s="408">
        <v>14000</v>
      </c>
      <c r="U907" s="408">
        <v>14000</v>
      </c>
      <c r="V907" s="408"/>
      <c r="W907" s="408"/>
      <c r="X907" s="408"/>
      <c r="Y907" s="408"/>
      <c r="Z907" s="408">
        <v>11195.64</v>
      </c>
      <c r="AA907" s="408">
        <f t="shared" si="110"/>
        <v>31804.36</v>
      </c>
    </row>
    <row r="908" spans="1:27" s="362" customFormat="1" ht="31.5">
      <c r="A908" s="569"/>
      <c r="B908" s="569"/>
      <c r="C908" s="306"/>
      <c r="D908" s="376" t="s">
        <v>1183</v>
      </c>
      <c r="E908" s="292"/>
      <c r="F908" s="143"/>
      <c r="G908" s="292"/>
      <c r="H908" s="428">
        <v>3142</v>
      </c>
      <c r="I908" s="307">
        <v>98000</v>
      </c>
      <c r="J908" s="307"/>
      <c r="K908" s="307"/>
      <c r="L908" s="76"/>
      <c r="M908" s="76">
        <v>98000</v>
      </c>
      <c r="N908" s="408"/>
      <c r="O908" s="408"/>
      <c r="P908" s="408"/>
      <c r="Q908" s="408"/>
      <c r="R908" s="408"/>
      <c r="S908" s="408">
        <v>30000</v>
      </c>
      <c r="T908" s="408">
        <v>34000</v>
      </c>
      <c r="U908" s="408">
        <v>34000</v>
      </c>
      <c r="V908" s="408"/>
      <c r="W908" s="408"/>
      <c r="X908" s="408"/>
      <c r="Y908" s="408"/>
      <c r="Z908" s="408">
        <v>24982.56</v>
      </c>
      <c r="AA908" s="408">
        <f t="shared" si="110"/>
        <v>73017.44</v>
      </c>
    </row>
    <row r="909" spans="1:27" s="362" customFormat="1" ht="31.5">
      <c r="A909" s="569"/>
      <c r="B909" s="569"/>
      <c r="C909" s="306"/>
      <c r="D909" s="376" t="s">
        <v>340</v>
      </c>
      <c r="E909" s="292"/>
      <c r="F909" s="143"/>
      <c r="G909" s="292"/>
      <c r="H909" s="428">
        <v>3142</v>
      </c>
      <c r="I909" s="307">
        <v>157000</v>
      </c>
      <c r="J909" s="307"/>
      <c r="K909" s="307"/>
      <c r="L909" s="76"/>
      <c r="M909" s="76">
        <v>157000</v>
      </c>
      <c r="N909" s="408"/>
      <c r="O909" s="408"/>
      <c r="P909" s="408"/>
      <c r="Q909" s="408"/>
      <c r="R909" s="408"/>
      <c r="S909" s="408">
        <v>50000</v>
      </c>
      <c r="T909" s="408">
        <v>50000</v>
      </c>
      <c r="U909" s="408">
        <v>57000</v>
      </c>
      <c r="V909" s="408"/>
      <c r="W909" s="408"/>
      <c r="X909" s="408"/>
      <c r="Y909" s="408"/>
      <c r="Z909" s="408">
        <v>43183.44</v>
      </c>
      <c r="AA909" s="408">
        <f t="shared" si="110"/>
        <v>113816.56</v>
      </c>
    </row>
    <row r="910" spans="1:27" s="362" customFormat="1" ht="31.5">
      <c r="A910" s="569"/>
      <c r="B910" s="569"/>
      <c r="C910" s="306"/>
      <c r="D910" s="376" t="s">
        <v>341</v>
      </c>
      <c r="E910" s="292"/>
      <c r="F910" s="143"/>
      <c r="G910" s="292"/>
      <c r="H910" s="428">
        <v>3142</v>
      </c>
      <c r="I910" s="307">
        <v>8531759</v>
      </c>
      <c r="J910" s="307"/>
      <c r="K910" s="307"/>
      <c r="L910" s="76"/>
      <c r="M910" s="76">
        <v>8531759</v>
      </c>
      <c r="N910" s="408"/>
      <c r="O910" s="408"/>
      <c r="P910" s="408"/>
      <c r="Q910" s="408"/>
      <c r="R910" s="408">
        <v>2500000</v>
      </c>
      <c r="S910" s="408"/>
      <c r="T910" s="408">
        <v>2000000</v>
      </c>
      <c r="U910" s="408">
        <f>4031759-103500-1000000</f>
        <v>2928259</v>
      </c>
      <c r="V910" s="408"/>
      <c r="W910" s="408">
        <v>1000000</v>
      </c>
      <c r="X910" s="408"/>
      <c r="Y910" s="408">
        <v>103500</v>
      </c>
      <c r="Z910" s="408">
        <v>2492565.02</v>
      </c>
      <c r="AA910" s="408">
        <f t="shared" si="110"/>
        <v>4935693.98</v>
      </c>
    </row>
    <row r="911" spans="1:27" s="362" customFormat="1" ht="31.5">
      <c r="A911" s="569"/>
      <c r="B911" s="569"/>
      <c r="C911" s="306"/>
      <c r="D911" s="376" t="s">
        <v>730</v>
      </c>
      <c r="E911" s="292"/>
      <c r="F911" s="143"/>
      <c r="G911" s="292"/>
      <c r="H911" s="428">
        <v>3142</v>
      </c>
      <c r="I911" s="307">
        <v>700000</v>
      </c>
      <c r="J911" s="307"/>
      <c r="K911" s="307"/>
      <c r="L911" s="76"/>
      <c r="M911" s="76">
        <v>700000</v>
      </c>
      <c r="N911" s="408"/>
      <c r="O911" s="408"/>
      <c r="P911" s="408"/>
      <c r="Q911" s="408"/>
      <c r="R911" s="408">
        <v>700000</v>
      </c>
      <c r="S911" s="408"/>
      <c r="T911" s="408"/>
      <c r="U911" s="408"/>
      <c r="V911" s="408"/>
      <c r="W911" s="408"/>
      <c r="X911" s="408"/>
      <c r="Y911" s="408"/>
      <c r="Z911" s="408"/>
      <c r="AA911" s="408">
        <f t="shared" si="110"/>
        <v>700000</v>
      </c>
    </row>
    <row r="912" spans="1:27" s="362" customFormat="1" ht="31.5">
      <c r="A912" s="569"/>
      <c r="B912" s="569"/>
      <c r="C912" s="306"/>
      <c r="D912" s="376" t="s">
        <v>813</v>
      </c>
      <c r="E912" s="292"/>
      <c r="F912" s="143"/>
      <c r="G912" s="292"/>
      <c r="H912" s="428">
        <v>3142</v>
      </c>
      <c r="I912" s="307">
        <v>600000</v>
      </c>
      <c r="J912" s="307"/>
      <c r="K912" s="307"/>
      <c r="L912" s="76"/>
      <c r="M912" s="76">
        <v>600000</v>
      </c>
      <c r="N912" s="408"/>
      <c r="O912" s="408"/>
      <c r="P912" s="408"/>
      <c r="Q912" s="408"/>
      <c r="R912" s="408"/>
      <c r="S912" s="408">
        <v>600000</v>
      </c>
      <c r="T912" s="408"/>
      <c r="U912" s="408"/>
      <c r="V912" s="408"/>
      <c r="W912" s="408"/>
      <c r="X912" s="408"/>
      <c r="Y912" s="408"/>
      <c r="Z912" s="408"/>
      <c r="AA912" s="408">
        <f t="shared" si="110"/>
        <v>600000</v>
      </c>
    </row>
    <row r="913" spans="1:27" s="362" customFormat="1" ht="31.5">
      <c r="A913" s="569"/>
      <c r="B913" s="569"/>
      <c r="C913" s="306"/>
      <c r="D913" s="376" t="s">
        <v>1142</v>
      </c>
      <c r="E913" s="292"/>
      <c r="F913" s="143"/>
      <c r="G913" s="292"/>
      <c r="H913" s="428">
        <v>3142</v>
      </c>
      <c r="I913" s="307">
        <v>1500000</v>
      </c>
      <c r="J913" s="307"/>
      <c r="K913" s="307"/>
      <c r="L913" s="76"/>
      <c r="M913" s="76">
        <v>1500000</v>
      </c>
      <c r="N913" s="408"/>
      <c r="O913" s="408"/>
      <c r="P913" s="408"/>
      <c r="Q913" s="408"/>
      <c r="R913" s="408">
        <f>800000-300000</f>
        <v>500000</v>
      </c>
      <c r="S913" s="408">
        <v>700000</v>
      </c>
      <c r="T913" s="408"/>
      <c r="U913" s="408"/>
      <c r="V913" s="408">
        <v>300000</v>
      </c>
      <c r="W913" s="408"/>
      <c r="X913" s="408"/>
      <c r="Y913" s="408"/>
      <c r="Z913" s="408"/>
      <c r="AA913" s="408">
        <f t="shared" si="110"/>
        <v>1200000</v>
      </c>
    </row>
    <row r="914" spans="1:27" s="362" customFormat="1" ht="31.5">
      <c r="A914" s="569"/>
      <c r="B914" s="569"/>
      <c r="C914" s="306"/>
      <c r="D914" s="376" t="s">
        <v>342</v>
      </c>
      <c r="E914" s="292"/>
      <c r="F914" s="143"/>
      <c r="G914" s="292"/>
      <c r="H914" s="428">
        <v>3142</v>
      </c>
      <c r="I914" s="307">
        <v>600000</v>
      </c>
      <c r="J914" s="307"/>
      <c r="K914" s="307"/>
      <c r="L914" s="76"/>
      <c r="M914" s="76">
        <v>600000</v>
      </c>
      <c r="N914" s="408"/>
      <c r="O914" s="408"/>
      <c r="P914" s="408"/>
      <c r="Q914" s="408"/>
      <c r="R914" s="408"/>
      <c r="S914" s="408">
        <v>600000</v>
      </c>
      <c r="T914" s="408"/>
      <c r="U914" s="408"/>
      <c r="V914" s="408"/>
      <c r="W914" s="408"/>
      <c r="X914" s="408"/>
      <c r="Y914" s="408"/>
      <c r="Z914" s="408"/>
      <c r="AA914" s="408">
        <f t="shared" si="110"/>
        <v>600000</v>
      </c>
    </row>
    <row r="915" spans="1:27" s="362" customFormat="1" ht="31.5">
      <c r="A915" s="569"/>
      <c r="B915" s="569"/>
      <c r="C915" s="306"/>
      <c r="D915" s="376" t="s">
        <v>1146</v>
      </c>
      <c r="E915" s="292"/>
      <c r="F915" s="143"/>
      <c r="G915" s="292"/>
      <c r="H915" s="428">
        <v>3142</v>
      </c>
      <c r="I915" s="307">
        <v>1600000</v>
      </c>
      <c r="J915" s="307"/>
      <c r="K915" s="307"/>
      <c r="L915" s="76"/>
      <c r="M915" s="76">
        <v>1600000</v>
      </c>
      <c r="N915" s="408"/>
      <c r="O915" s="408"/>
      <c r="P915" s="408"/>
      <c r="Q915" s="408"/>
      <c r="R915" s="408"/>
      <c r="S915" s="408">
        <v>800000</v>
      </c>
      <c r="T915" s="408">
        <v>800000</v>
      </c>
      <c r="U915" s="408"/>
      <c r="V915" s="408"/>
      <c r="W915" s="408"/>
      <c r="X915" s="408"/>
      <c r="Y915" s="408"/>
      <c r="Z915" s="408"/>
      <c r="AA915" s="408">
        <f t="shared" si="110"/>
        <v>1600000</v>
      </c>
    </row>
    <row r="916" spans="1:27" s="362" customFormat="1" ht="31.5">
      <c r="A916" s="569"/>
      <c r="B916" s="569"/>
      <c r="C916" s="306"/>
      <c r="D916" s="376" t="s">
        <v>1148</v>
      </c>
      <c r="E916" s="292"/>
      <c r="F916" s="143"/>
      <c r="G916" s="292"/>
      <c r="H916" s="428">
        <v>3142</v>
      </c>
      <c r="I916" s="307">
        <v>1947976</v>
      </c>
      <c r="J916" s="307"/>
      <c r="K916" s="307"/>
      <c r="L916" s="76"/>
      <c r="M916" s="76">
        <v>1947976</v>
      </c>
      <c r="N916" s="408"/>
      <c r="O916" s="408"/>
      <c r="P916" s="408"/>
      <c r="Q916" s="408"/>
      <c r="R916" s="408">
        <v>700000</v>
      </c>
      <c r="S916" s="408">
        <v>800000</v>
      </c>
      <c r="T916" s="408">
        <v>447976</v>
      </c>
      <c r="U916" s="408"/>
      <c r="V916" s="408"/>
      <c r="W916" s="408"/>
      <c r="X916" s="408"/>
      <c r="Y916" s="408"/>
      <c r="Z916" s="408"/>
      <c r="AA916" s="408">
        <f t="shared" si="110"/>
        <v>1947976</v>
      </c>
    </row>
    <row r="917" spans="1:27" s="362" customFormat="1" ht="15.75">
      <c r="A917" s="569"/>
      <c r="B917" s="569"/>
      <c r="C917" s="306"/>
      <c r="D917" s="376" t="s">
        <v>1230</v>
      </c>
      <c r="E917" s="292"/>
      <c r="F917" s="143"/>
      <c r="G917" s="292"/>
      <c r="H917" s="428">
        <v>3122</v>
      </c>
      <c r="I917" s="307">
        <v>11161659</v>
      </c>
      <c r="J917" s="307"/>
      <c r="K917" s="307"/>
      <c r="L917" s="76"/>
      <c r="M917" s="76">
        <v>11161659</v>
      </c>
      <c r="N917" s="408"/>
      <c r="O917" s="408"/>
      <c r="P917" s="408"/>
      <c r="Q917" s="408"/>
      <c r="R917" s="408">
        <v>4000000</v>
      </c>
      <c r="S917" s="408"/>
      <c r="T917" s="408">
        <v>2000000</v>
      </c>
      <c r="U917" s="408">
        <v>4000000</v>
      </c>
      <c r="V917" s="408">
        <v>1161659</v>
      </c>
      <c r="W917" s="408"/>
      <c r="X917" s="408"/>
      <c r="Y917" s="408"/>
      <c r="Z917" s="408"/>
      <c r="AA917" s="408">
        <f t="shared" si="110"/>
        <v>10000000</v>
      </c>
    </row>
    <row r="918" spans="1:27" s="362" customFormat="1" ht="31.5">
      <c r="A918" s="569"/>
      <c r="B918" s="569"/>
      <c r="C918" s="306"/>
      <c r="D918" s="376" t="s">
        <v>801</v>
      </c>
      <c r="E918" s="292"/>
      <c r="F918" s="143"/>
      <c r="G918" s="292"/>
      <c r="H918" s="428">
        <v>3142</v>
      </c>
      <c r="I918" s="307">
        <v>990000</v>
      </c>
      <c r="J918" s="307"/>
      <c r="K918" s="307"/>
      <c r="L918" s="76"/>
      <c r="M918" s="76">
        <v>990000</v>
      </c>
      <c r="N918" s="408"/>
      <c r="O918" s="408"/>
      <c r="P918" s="408"/>
      <c r="Q918" s="408"/>
      <c r="R918" s="408">
        <v>300000</v>
      </c>
      <c r="S918" s="408"/>
      <c r="T918" s="408"/>
      <c r="U918" s="408"/>
      <c r="V918" s="408">
        <f>990000-300000</f>
        <v>690000</v>
      </c>
      <c r="W918" s="408"/>
      <c r="X918" s="408"/>
      <c r="Y918" s="408"/>
      <c r="Z918" s="408">
        <v>288546.84</v>
      </c>
      <c r="AA918" s="408">
        <f t="shared" si="110"/>
        <v>11453.16</v>
      </c>
    </row>
    <row r="919" spans="1:27" s="362" customFormat="1" ht="15.75">
      <c r="A919" s="569"/>
      <c r="B919" s="569"/>
      <c r="C919" s="306"/>
      <c r="D919" s="376" t="s">
        <v>343</v>
      </c>
      <c r="E919" s="292"/>
      <c r="F919" s="143"/>
      <c r="G919" s="292"/>
      <c r="H919" s="428">
        <v>3142</v>
      </c>
      <c r="I919" s="307">
        <v>20000</v>
      </c>
      <c r="J919" s="307"/>
      <c r="K919" s="307"/>
      <c r="L919" s="76"/>
      <c r="M919" s="76">
        <v>20000</v>
      </c>
      <c r="N919" s="408"/>
      <c r="O919" s="408"/>
      <c r="P919" s="408"/>
      <c r="Q919" s="408"/>
      <c r="R919" s="408">
        <v>5000</v>
      </c>
      <c r="S919" s="408"/>
      <c r="T919" s="408"/>
      <c r="U919" s="408">
        <v>15000</v>
      </c>
      <c r="V919" s="408"/>
      <c r="W919" s="408"/>
      <c r="X919" s="408"/>
      <c r="Y919" s="408"/>
      <c r="Z919" s="408"/>
      <c r="AA919" s="408">
        <f aca="true" t="shared" si="111" ref="AA919:AA982">N919+O919+P919+Q919+R919+S919+T919+U919-Z919</f>
        <v>20000</v>
      </c>
    </row>
    <row r="920" spans="1:27" s="362" customFormat="1" ht="18.75" customHeight="1">
      <c r="A920" s="569"/>
      <c r="B920" s="569"/>
      <c r="C920" s="306"/>
      <c r="D920" s="376" t="s">
        <v>344</v>
      </c>
      <c r="E920" s="292"/>
      <c r="F920" s="143"/>
      <c r="G920" s="292"/>
      <c r="H920" s="428">
        <v>3142</v>
      </c>
      <c r="I920" s="307">
        <v>334370</v>
      </c>
      <c r="J920" s="307"/>
      <c r="K920" s="307"/>
      <c r="L920" s="76"/>
      <c r="M920" s="76">
        <v>334370</v>
      </c>
      <c r="N920" s="408"/>
      <c r="O920" s="408"/>
      <c r="P920" s="408"/>
      <c r="Q920" s="408"/>
      <c r="R920" s="408"/>
      <c r="S920" s="408"/>
      <c r="T920" s="408">
        <v>334370</v>
      </c>
      <c r="U920" s="408"/>
      <c r="V920" s="408"/>
      <c r="W920" s="408"/>
      <c r="X920" s="408"/>
      <c r="Y920" s="408"/>
      <c r="Z920" s="408"/>
      <c r="AA920" s="408">
        <f t="shared" si="111"/>
        <v>334370</v>
      </c>
    </row>
    <row r="921" spans="1:27" s="362" customFormat="1" ht="15.75">
      <c r="A921" s="569"/>
      <c r="B921" s="569"/>
      <c r="C921" s="306"/>
      <c r="D921" s="376" t="s">
        <v>1226</v>
      </c>
      <c r="E921" s="292"/>
      <c r="F921" s="143"/>
      <c r="G921" s="292"/>
      <c r="H921" s="428">
        <v>3142</v>
      </c>
      <c r="I921" s="307">
        <v>80000</v>
      </c>
      <c r="J921" s="307"/>
      <c r="K921" s="307"/>
      <c r="L921" s="76"/>
      <c r="M921" s="76">
        <v>80000</v>
      </c>
      <c r="N921" s="408"/>
      <c r="O921" s="408"/>
      <c r="P921" s="408"/>
      <c r="Q921" s="408"/>
      <c r="R921" s="408"/>
      <c r="S921" s="408">
        <v>15000</v>
      </c>
      <c r="T921" s="408">
        <v>30000</v>
      </c>
      <c r="U921" s="408">
        <v>35000</v>
      </c>
      <c r="V921" s="408"/>
      <c r="W921" s="408"/>
      <c r="X921" s="408"/>
      <c r="Y921" s="408"/>
      <c r="Z921" s="408"/>
      <c r="AA921" s="408">
        <f t="shared" si="111"/>
        <v>80000</v>
      </c>
    </row>
    <row r="922" spans="1:27" s="362" customFormat="1" ht="31.5">
      <c r="A922" s="569"/>
      <c r="B922" s="569"/>
      <c r="C922" s="306"/>
      <c r="D922" s="262" t="s">
        <v>345</v>
      </c>
      <c r="E922" s="292"/>
      <c r="F922" s="143"/>
      <c r="G922" s="292"/>
      <c r="H922" s="428">
        <v>3142</v>
      </c>
      <c r="I922" s="307">
        <v>580000</v>
      </c>
      <c r="J922" s="307"/>
      <c r="K922" s="307"/>
      <c r="L922" s="76"/>
      <c r="M922" s="76">
        <v>580000</v>
      </c>
      <c r="N922" s="408"/>
      <c r="O922" s="408"/>
      <c r="P922" s="408"/>
      <c r="Q922" s="408"/>
      <c r="R922" s="408">
        <v>30000</v>
      </c>
      <c r="S922" s="408">
        <v>250000</v>
      </c>
      <c r="T922" s="408">
        <v>300000</v>
      </c>
      <c r="U922" s="408"/>
      <c r="V922" s="408"/>
      <c r="W922" s="408"/>
      <c r="X922" s="408"/>
      <c r="Y922" s="408"/>
      <c r="Z922" s="408">
        <v>10413.9</v>
      </c>
      <c r="AA922" s="408">
        <f t="shared" si="111"/>
        <v>569586.1</v>
      </c>
    </row>
    <row r="923" spans="1:27" s="362" customFormat="1" ht="15.75">
      <c r="A923" s="569"/>
      <c r="B923" s="569"/>
      <c r="C923" s="306"/>
      <c r="D923" s="262" t="s">
        <v>346</v>
      </c>
      <c r="E923" s="292"/>
      <c r="F923" s="143"/>
      <c r="G923" s="292"/>
      <c r="H923" s="428">
        <v>3142</v>
      </c>
      <c r="I923" s="307">
        <v>50000</v>
      </c>
      <c r="J923" s="307"/>
      <c r="K923" s="307"/>
      <c r="L923" s="76"/>
      <c r="M923" s="76">
        <v>50000</v>
      </c>
      <c r="N923" s="408"/>
      <c r="O923" s="408"/>
      <c r="P923" s="408"/>
      <c r="Q923" s="408"/>
      <c r="R923" s="408"/>
      <c r="S923" s="408"/>
      <c r="T923" s="408"/>
      <c r="U923" s="408">
        <v>10000</v>
      </c>
      <c r="V923" s="408">
        <v>20000</v>
      </c>
      <c r="W923" s="408">
        <v>20000</v>
      </c>
      <c r="X923" s="408"/>
      <c r="Y923" s="408"/>
      <c r="Z923" s="408"/>
      <c r="AA923" s="408">
        <f t="shared" si="111"/>
        <v>10000</v>
      </c>
    </row>
    <row r="924" spans="1:27" s="362" customFormat="1" ht="47.25">
      <c r="A924" s="569"/>
      <c r="B924" s="569"/>
      <c r="C924" s="306"/>
      <c r="D924" s="262" t="s">
        <v>1172</v>
      </c>
      <c r="E924" s="292"/>
      <c r="F924" s="143"/>
      <c r="G924" s="292"/>
      <c r="H924" s="428">
        <v>3142</v>
      </c>
      <c r="I924" s="307">
        <v>400000</v>
      </c>
      <c r="J924" s="307"/>
      <c r="K924" s="307"/>
      <c r="L924" s="76"/>
      <c r="M924" s="76">
        <v>400000</v>
      </c>
      <c r="N924" s="408"/>
      <c r="O924" s="408"/>
      <c r="P924" s="408"/>
      <c r="Q924" s="408"/>
      <c r="R924" s="408"/>
      <c r="S924" s="408"/>
      <c r="T924" s="408"/>
      <c r="U924" s="408">
        <v>200000</v>
      </c>
      <c r="V924" s="408">
        <v>200000</v>
      </c>
      <c r="W924" s="408"/>
      <c r="X924" s="408"/>
      <c r="Y924" s="408"/>
      <c r="Z924" s="408"/>
      <c r="AA924" s="408">
        <f t="shared" si="111"/>
        <v>200000</v>
      </c>
    </row>
    <row r="925" spans="1:27" s="362" customFormat="1" ht="47.25">
      <c r="A925" s="569"/>
      <c r="B925" s="569"/>
      <c r="C925" s="306"/>
      <c r="D925" s="376" t="s">
        <v>811</v>
      </c>
      <c r="E925" s="292"/>
      <c r="F925" s="143"/>
      <c r="G925" s="292"/>
      <c r="H925" s="428">
        <v>3122</v>
      </c>
      <c r="I925" s="307">
        <v>182028.57</v>
      </c>
      <c r="J925" s="307"/>
      <c r="K925" s="307"/>
      <c r="L925" s="76"/>
      <c r="M925" s="76">
        <v>182028.57</v>
      </c>
      <c r="N925" s="408"/>
      <c r="O925" s="408"/>
      <c r="P925" s="408"/>
      <c r="Q925" s="408"/>
      <c r="R925" s="408">
        <v>50000</v>
      </c>
      <c r="S925" s="408">
        <v>70000</v>
      </c>
      <c r="T925" s="408">
        <v>62028.57</v>
      </c>
      <c r="U925" s="408"/>
      <c r="V925" s="408"/>
      <c r="W925" s="408"/>
      <c r="X925" s="408"/>
      <c r="Y925" s="408"/>
      <c r="Z925" s="408"/>
      <c r="AA925" s="408">
        <f t="shared" si="111"/>
        <v>182028.57</v>
      </c>
    </row>
    <row r="926" spans="1:27" s="362" customFormat="1" ht="31.5">
      <c r="A926" s="569"/>
      <c r="B926" s="569"/>
      <c r="C926" s="306"/>
      <c r="D926" s="376" t="s">
        <v>812</v>
      </c>
      <c r="E926" s="292"/>
      <c r="F926" s="143"/>
      <c r="G926" s="292"/>
      <c r="H926" s="428">
        <v>3122</v>
      </c>
      <c r="I926" s="307">
        <v>1323.6</v>
      </c>
      <c r="J926" s="307"/>
      <c r="K926" s="307"/>
      <c r="L926" s="76"/>
      <c r="M926" s="76">
        <v>1323.6</v>
      </c>
      <c r="N926" s="408"/>
      <c r="O926" s="408"/>
      <c r="P926" s="408"/>
      <c r="Q926" s="408"/>
      <c r="R926" s="408">
        <v>1323.6</v>
      </c>
      <c r="S926" s="408"/>
      <c r="T926" s="408"/>
      <c r="U926" s="408"/>
      <c r="V926" s="408"/>
      <c r="W926" s="408"/>
      <c r="X926" s="408"/>
      <c r="Y926" s="408"/>
      <c r="Z926" s="408"/>
      <c r="AA926" s="408">
        <f t="shared" si="111"/>
        <v>1323.6</v>
      </c>
    </row>
    <row r="927" spans="1:27" s="362" customFormat="1" ht="47.25">
      <c r="A927" s="569"/>
      <c r="B927" s="569"/>
      <c r="C927" s="306"/>
      <c r="D927" s="376" t="s">
        <v>1272</v>
      </c>
      <c r="E927" s="292"/>
      <c r="F927" s="143"/>
      <c r="G927" s="292"/>
      <c r="H927" s="428">
        <v>3142</v>
      </c>
      <c r="I927" s="307">
        <v>510000</v>
      </c>
      <c r="J927" s="307"/>
      <c r="K927" s="307"/>
      <c r="L927" s="76"/>
      <c r="M927" s="76">
        <v>510000</v>
      </c>
      <c r="N927" s="408"/>
      <c r="O927" s="408"/>
      <c r="P927" s="408"/>
      <c r="Q927" s="408"/>
      <c r="R927" s="408">
        <v>17500</v>
      </c>
      <c r="S927" s="408"/>
      <c r="T927" s="408"/>
      <c r="U927" s="408">
        <f>492500-492500</f>
        <v>0</v>
      </c>
      <c r="V927" s="408"/>
      <c r="W927" s="408"/>
      <c r="X927" s="408"/>
      <c r="Y927" s="408">
        <v>492500</v>
      </c>
      <c r="Z927" s="408"/>
      <c r="AA927" s="408">
        <f t="shared" si="111"/>
        <v>17500</v>
      </c>
    </row>
    <row r="928" spans="1:27" s="362" customFormat="1" ht="47.25">
      <c r="A928" s="569"/>
      <c r="B928" s="569"/>
      <c r="C928" s="306"/>
      <c r="D928" s="376" t="s">
        <v>1433</v>
      </c>
      <c r="E928" s="292"/>
      <c r="F928" s="143"/>
      <c r="G928" s="292"/>
      <c r="H928" s="428">
        <v>3210</v>
      </c>
      <c r="I928" s="307">
        <v>46300</v>
      </c>
      <c r="J928" s="307"/>
      <c r="K928" s="307"/>
      <c r="L928" s="76"/>
      <c r="M928" s="76"/>
      <c r="N928" s="408"/>
      <c r="O928" s="408"/>
      <c r="P928" s="408"/>
      <c r="Q928" s="408"/>
      <c r="R928" s="408">
        <v>46300</v>
      </c>
      <c r="S928" s="408"/>
      <c r="T928" s="408"/>
      <c r="U928" s="408"/>
      <c r="V928" s="408"/>
      <c r="W928" s="408"/>
      <c r="X928" s="408"/>
      <c r="Y928" s="408"/>
      <c r="Z928" s="408"/>
      <c r="AA928" s="408">
        <f t="shared" si="111"/>
        <v>46300</v>
      </c>
    </row>
    <row r="929" spans="1:27" s="362" customFormat="1" ht="31.5">
      <c r="A929" s="596"/>
      <c r="B929" s="596"/>
      <c r="C929" s="306"/>
      <c r="D929" s="376" t="s">
        <v>1273</v>
      </c>
      <c r="E929" s="292"/>
      <c r="F929" s="143"/>
      <c r="G929" s="292"/>
      <c r="H929" s="428">
        <v>3142</v>
      </c>
      <c r="I929" s="307">
        <v>980000</v>
      </c>
      <c r="J929" s="307"/>
      <c r="K929" s="307"/>
      <c r="L929" s="76"/>
      <c r="M929" s="76">
        <v>980000</v>
      </c>
      <c r="N929" s="408"/>
      <c r="O929" s="408"/>
      <c r="P929" s="408"/>
      <c r="Q929" s="408"/>
      <c r="R929" s="408">
        <v>15000</v>
      </c>
      <c r="S929" s="408">
        <v>50000</v>
      </c>
      <c r="T929" s="408"/>
      <c r="U929" s="408"/>
      <c r="V929" s="408"/>
      <c r="W929" s="408">
        <f>915000-500000</f>
        <v>415000</v>
      </c>
      <c r="X929" s="408"/>
      <c r="Y929" s="408">
        <v>500000</v>
      </c>
      <c r="Z929" s="408"/>
      <c r="AA929" s="408">
        <f t="shared" si="111"/>
        <v>65000</v>
      </c>
    </row>
    <row r="930" spans="1:61" s="28" customFormat="1" ht="15.75" customHeight="1">
      <c r="A930" s="568">
        <v>150110</v>
      </c>
      <c r="B930" s="538" t="s">
        <v>1096</v>
      </c>
      <c r="C930" s="267"/>
      <c r="D930" s="71" t="s">
        <v>1597</v>
      </c>
      <c r="E930" s="303"/>
      <c r="F930" s="159"/>
      <c r="G930" s="303"/>
      <c r="H930" s="430"/>
      <c r="I930" s="304">
        <f aca="true" t="shared" si="112" ref="I930:Z930">SUM(I931:I934)</f>
        <v>5587611.06</v>
      </c>
      <c r="J930" s="304">
        <f t="shared" si="112"/>
        <v>0</v>
      </c>
      <c r="K930" s="304">
        <f t="shared" si="112"/>
        <v>0</v>
      </c>
      <c r="L930" s="304">
        <f t="shared" si="112"/>
        <v>3211.06</v>
      </c>
      <c r="M930" s="304">
        <f t="shared" si="112"/>
        <v>5584400</v>
      </c>
      <c r="N930" s="304">
        <f t="shared" si="112"/>
        <v>0</v>
      </c>
      <c r="O930" s="304">
        <f t="shared" si="112"/>
        <v>3211.06</v>
      </c>
      <c r="P930" s="304">
        <f t="shared" si="112"/>
        <v>0</v>
      </c>
      <c r="Q930" s="304">
        <f t="shared" si="112"/>
        <v>0</v>
      </c>
      <c r="R930" s="304">
        <f t="shared" si="112"/>
        <v>1350000</v>
      </c>
      <c r="S930" s="304">
        <f t="shared" si="112"/>
        <v>1300000</v>
      </c>
      <c r="T930" s="304">
        <f t="shared" si="112"/>
        <v>1452500</v>
      </c>
      <c r="U930" s="304">
        <f t="shared" si="112"/>
        <v>1481900</v>
      </c>
      <c r="V930" s="304">
        <f t="shared" si="112"/>
        <v>0</v>
      </c>
      <c r="W930" s="304">
        <f t="shared" si="112"/>
        <v>0</v>
      </c>
      <c r="X930" s="304">
        <f t="shared" si="112"/>
        <v>0</v>
      </c>
      <c r="Y930" s="304">
        <f t="shared" si="112"/>
        <v>0</v>
      </c>
      <c r="Z930" s="304">
        <f t="shared" si="112"/>
        <v>1400100.96</v>
      </c>
      <c r="AA930" s="408">
        <f t="shared" si="111"/>
        <v>4187510.1</v>
      </c>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row>
    <row r="931" spans="1:27" s="45" customFormat="1" ht="47.25" customHeight="1">
      <c r="A931" s="569"/>
      <c r="B931" s="512"/>
      <c r="C931" s="266" t="s">
        <v>567</v>
      </c>
      <c r="D931" s="14" t="s">
        <v>580</v>
      </c>
      <c r="E931" s="292">
        <v>200</v>
      </c>
      <c r="F931" s="143">
        <f>100%-((E931-G931)/E931)</f>
        <v>1</v>
      </c>
      <c r="G931" s="292">
        <v>200</v>
      </c>
      <c r="H931" s="428">
        <v>3142</v>
      </c>
      <c r="I931" s="307">
        <v>3211.06</v>
      </c>
      <c r="J931" s="307"/>
      <c r="K931" s="307"/>
      <c r="L931" s="49">
        <v>3211.06</v>
      </c>
      <c r="M931" s="307"/>
      <c r="N931" s="408"/>
      <c r="O931" s="307">
        <v>3211.06</v>
      </c>
      <c r="P931" s="408"/>
      <c r="Q931" s="408"/>
      <c r="R931" s="408"/>
      <c r="S931" s="408"/>
      <c r="T931" s="408"/>
      <c r="U931" s="408"/>
      <c r="V931" s="408"/>
      <c r="W931" s="408"/>
      <c r="X931" s="408"/>
      <c r="Y931" s="408"/>
      <c r="Z931" s="307">
        <v>3211.06</v>
      </c>
      <c r="AA931" s="408">
        <f t="shared" si="111"/>
        <v>0</v>
      </c>
    </row>
    <row r="932" spans="1:27" s="362" customFormat="1" ht="47.25">
      <c r="A932" s="569"/>
      <c r="B932" s="512"/>
      <c r="C932" s="266"/>
      <c r="D932" s="376" t="s">
        <v>1616</v>
      </c>
      <c r="E932" s="292"/>
      <c r="F932" s="143"/>
      <c r="G932" s="292"/>
      <c r="H932" s="428">
        <v>3142</v>
      </c>
      <c r="I932" s="307">
        <v>690000</v>
      </c>
      <c r="J932" s="307"/>
      <c r="K932" s="307"/>
      <c r="L932" s="76"/>
      <c r="M932" s="76">
        <v>690000</v>
      </c>
      <c r="N932" s="408"/>
      <c r="O932" s="408"/>
      <c r="P932" s="408"/>
      <c r="Q932" s="408"/>
      <c r="R932" s="408">
        <v>50000</v>
      </c>
      <c r="S932" s="408">
        <v>100000</v>
      </c>
      <c r="T932" s="408">
        <v>270000</v>
      </c>
      <c r="U932" s="408">
        <v>270000</v>
      </c>
      <c r="V932" s="408"/>
      <c r="W932" s="408"/>
      <c r="X932" s="408"/>
      <c r="Y932" s="408"/>
      <c r="Z932" s="408">
        <v>10640</v>
      </c>
      <c r="AA932" s="408">
        <f t="shared" si="111"/>
        <v>679360</v>
      </c>
    </row>
    <row r="933" spans="1:27" s="362" customFormat="1" ht="31.5">
      <c r="A933" s="569"/>
      <c r="B933" s="512"/>
      <c r="C933" s="266" t="s">
        <v>581</v>
      </c>
      <c r="D933" s="376" t="s">
        <v>578</v>
      </c>
      <c r="E933" s="292">
        <v>354</v>
      </c>
      <c r="F933" s="143">
        <f>100%-((E933-G933)/E933)</f>
        <v>1</v>
      </c>
      <c r="G933" s="292">
        <v>354</v>
      </c>
      <c r="H933" s="428">
        <v>3122</v>
      </c>
      <c r="I933" s="307">
        <v>4329400</v>
      </c>
      <c r="J933" s="307"/>
      <c r="K933" s="307"/>
      <c r="L933" s="76"/>
      <c r="M933" s="76">
        <v>4329400</v>
      </c>
      <c r="N933" s="408"/>
      <c r="O933" s="408"/>
      <c r="P933" s="408"/>
      <c r="Q933" s="408"/>
      <c r="R933" s="408">
        <v>1300000</v>
      </c>
      <c r="S933" s="408">
        <v>1000000</v>
      </c>
      <c r="T933" s="408">
        <v>1000000</v>
      </c>
      <c r="U933" s="408">
        <v>1029400</v>
      </c>
      <c r="V933" s="408"/>
      <c r="W933" s="408"/>
      <c r="X933" s="408"/>
      <c r="Y933" s="408"/>
      <c r="Z933" s="408">
        <v>1250851.5</v>
      </c>
      <c r="AA933" s="408">
        <f t="shared" si="111"/>
        <v>3078548.5</v>
      </c>
    </row>
    <row r="934" spans="1:27" s="362" customFormat="1" ht="31.5">
      <c r="A934" s="576"/>
      <c r="B934" s="516"/>
      <c r="C934" s="266" t="s">
        <v>583</v>
      </c>
      <c r="D934" s="376" t="s">
        <v>1617</v>
      </c>
      <c r="E934" s="292">
        <v>11730.59</v>
      </c>
      <c r="F934" s="143">
        <f>100%-((E934-G934)/E934)</f>
        <v>0.672</v>
      </c>
      <c r="G934" s="292">
        <v>7879</v>
      </c>
      <c r="H934" s="428">
        <v>3142</v>
      </c>
      <c r="I934" s="307">
        <v>565000</v>
      </c>
      <c r="J934" s="307"/>
      <c r="K934" s="307"/>
      <c r="L934" s="76"/>
      <c r="M934" s="76">
        <v>565000</v>
      </c>
      <c r="N934" s="408"/>
      <c r="O934" s="408"/>
      <c r="P934" s="408"/>
      <c r="Q934" s="408"/>
      <c r="R934" s="408"/>
      <c r="S934" s="408">
        <v>200000</v>
      </c>
      <c r="T934" s="408">
        <v>182500</v>
      </c>
      <c r="U934" s="408">
        <v>182500</v>
      </c>
      <c r="V934" s="408"/>
      <c r="W934" s="408"/>
      <c r="X934" s="408"/>
      <c r="Y934" s="408"/>
      <c r="Z934" s="408">
        <f>67038+68360.4</f>
        <v>135398.4</v>
      </c>
      <c r="AA934" s="408">
        <f t="shared" si="111"/>
        <v>429601.6</v>
      </c>
    </row>
    <row r="935" spans="1:61" s="28" customFormat="1" ht="15.75">
      <c r="A935" s="568">
        <v>150118</v>
      </c>
      <c r="B935" s="538" t="s">
        <v>1430</v>
      </c>
      <c r="C935" s="270"/>
      <c r="D935" s="71" t="s">
        <v>1597</v>
      </c>
      <c r="E935" s="303"/>
      <c r="F935" s="138"/>
      <c r="G935" s="303"/>
      <c r="H935" s="430"/>
      <c r="I935" s="304">
        <f aca="true" t="shared" si="113" ref="I935:Z935">I936</f>
        <v>1650427</v>
      </c>
      <c r="J935" s="304">
        <f t="shared" si="113"/>
        <v>1000000</v>
      </c>
      <c r="K935" s="304">
        <f t="shared" si="113"/>
        <v>30000</v>
      </c>
      <c r="L935" s="304">
        <f t="shared" si="113"/>
        <v>0</v>
      </c>
      <c r="M935" s="304">
        <f t="shared" si="113"/>
        <v>1620427</v>
      </c>
      <c r="N935" s="304">
        <f t="shared" si="113"/>
        <v>0</v>
      </c>
      <c r="O935" s="304">
        <f t="shared" si="113"/>
        <v>0</v>
      </c>
      <c r="P935" s="304">
        <f t="shared" si="113"/>
        <v>0</v>
      </c>
      <c r="Q935" s="304">
        <f t="shared" si="113"/>
        <v>30000</v>
      </c>
      <c r="R935" s="304">
        <f t="shared" si="113"/>
        <v>0</v>
      </c>
      <c r="S935" s="304">
        <f t="shared" si="113"/>
        <v>500000</v>
      </c>
      <c r="T935" s="304">
        <f t="shared" si="113"/>
        <v>500000</v>
      </c>
      <c r="U935" s="304">
        <f t="shared" si="113"/>
        <v>620427</v>
      </c>
      <c r="V935" s="304">
        <f t="shared" si="113"/>
        <v>0</v>
      </c>
      <c r="W935" s="304">
        <f t="shared" si="113"/>
        <v>0</v>
      </c>
      <c r="X935" s="304">
        <f t="shared" si="113"/>
        <v>0</v>
      </c>
      <c r="Y935" s="304">
        <f t="shared" si="113"/>
        <v>0</v>
      </c>
      <c r="Z935" s="304">
        <f t="shared" si="113"/>
        <v>0</v>
      </c>
      <c r="AA935" s="408">
        <f t="shared" si="111"/>
        <v>1650427</v>
      </c>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row>
    <row r="936" spans="1:27" s="45" customFormat="1" ht="63" customHeight="1">
      <c r="A936" s="576"/>
      <c r="B936" s="516"/>
      <c r="C936" s="266"/>
      <c r="D936" s="14" t="s">
        <v>833</v>
      </c>
      <c r="E936" s="292"/>
      <c r="F936" s="143"/>
      <c r="G936" s="292"/>
      <c r="H936" s="428">
        <v>3122</v>
      </c>
      <c r="I936" s="307">
        <f>2650427-1000000</f>
        <v>1650427</v>
      </c>
      <c r="J936" s="307">
        <v>1000000</v>
      </c>
      <c r="K936" s="307">
        <v>30000</v>
      </c>
      <c r="L936" s="49"/>
      <c r="M936" s="49">
        <f>1620427</f>
        <v>1620427</v>
      </c>
      <c r="N936" s="408"/>
      <c r="O936" s="408"/>
      <c r="P936" s="408"/>
      <c r="Q936" s="408">
        <v>30000</v>
      </c>
      <c r="R936" s="408"/>
      <c r="S936" s="408">
        <v>500000</v>
      </c>
      <c r="T936" s="408">
        <v>500000</v>
      </c>
      <c r="U936" s="408">
        <v>620427</v>
      </c>
      <c r="V936" s="408"/>
      <c r="W936" s="408"/>
      <c r="X936" s="408"/>
      <c r="Y936" s="408"/>
      <c r="Z936" s="408"/>
      <c r="AA936" s="408">
        <f t="shared" si="111"/>
        <v>1650427</v>
      </c>
    </row>
    <row r="937" spans="1:27" s="30" customFormat="1" ht="15.75">
      <c r="A937" s="568">
        <v>180409</v>
      </c>
      <c r="B937" s="538" t="s">
        <v>111</v>
      </c>
      <c r="C937" s="321"/>
      <c r="D937" s="71" t="s">
        <v>1597</v>
      </c>
      <c r="E937" s="303"/>
      <c r="F937" s="138"/>
      <c r="G937" s="303"/>
      <c r="H937" s="430"/>
      <c r="I937" s="304">
        <f>I938</f>
        <v>65000</v>
      </c>
      <c r="J937" s="304">
        <f>J938</f>
        <v>0</v>
      </c>
      <c r="K937" s="304">
        <f>K938</f>
        <v>0</v>
      </c>
      <c r="L937" s="304">
        <f>L938</f>
        <v>65000</v>
      </c>
      <c r="M937" s="304">
        <f>M938</f>
        <v>0</v>
      </c>
      <c r="N937" s="304">
        <f aca="true" t="shared" si="114" ref="N937:Z937">N938</f>
        <v>0</v>
      </c>
      <c r="O937" s="304">
        <f t="shared" si="114"/>
        <v>0</v>
      </c>
      <c r="P937" s="304">
        <f t="shared" si="114"/>
        <v>0</v>
      </c>
      <c r="Q937" s="304">
        <f t="shared" si="114"/>
        <v>65000</v>
      </c>
      <c r="R937" s="304">
        <f t="shared" si="114"/>
        <v>0</v>
      </c>
      <c r="S937" s="304">
        <f t="shared" si="114"/>
        <v>0</v>
      </c>
      <c r="T937" s="304">
        <f t="shared" si="114"/>
        <v>0</v>
      </c>
      <c r="U937" s="304">
        <f t="shared" si="114"/>
        <v>0</v>
      </c>
      <c r="V937" s="304">
        <f t="shared" si="114"/>
        <v>0</v>
      </c>
      <c r="W937" s="304">
        <f t="shared" si="114"/>
        <v>0</v>
      </c>
      <c r="X937" s="304">
        <f t="shared" si="114"/>
        <v>0</v>
      </c>
      <c r="Y937" s="304">
        <f t="shared" si="114"/>
        <v>0</v>
      </c>
      <c r="Z937" s="304">
        <f t="shared" si="114"/>
        <v>0</v>
      </c>
      <c r="AA937" s="408">
        <f t="shared" si="111"/>
        <v>65000</v>
      </c>
    </row>
    <row r="938" spans="1:27" ht="63.75" customHeight="1">
      <c r="A938" s="576"/>
      <c r="B938" s="516"/>
      <c r="C938" s="266"/>
      <c r="D938" s="14" t="s">
        <v>112</v>
      </c>
      <c r="E938" s="292"/>
      <c r="F938" s="143"/>
      <c r="G938" s="292"/>
      <c r="H938" s="428">
        <v>3210</v>
      </c>
      <c r="I938" s="307">
        <v>65000</v>
      </c>
      <c r="J938" s="307"/>
      <c r="K938" s="307"/>
      <c r="L938" s="372">
        <v>65000</v>
      </c>
      <c r="M938" s="307"/>
      <c r="N938" s="408"/>
      <c r="O938" s="408"/>
      <c r="P938" s="408"/>
      <c r="Q938" s="408">
        <v>65000</v>
      </c>
      <c r="R938" s="408"/>
      <c r="S938" s="408"/>
      <c r="T938" s="408"/>
      <c r="U938" s="408"/>
      <c r="V938" s="408"/>
      <c r="W938" s="408"/>
      <c r="X938" s="408"/>
      <c r="Y938" s="408"/>
      <c r="Z938" s="408"/>
      <c r="AA938" s="408">
        <f t="shared" si="111"/>
        <v>65000</v>
      </c>
    </row>
    <row r="939" spans="1:27" s="30" customFormat="1" ht="15.75" customHeight="1">
      <c r="A939" s="568">
        <v>170703</v>
      </c>
      <c r="B939" s="538" t="s">
        <v>516</v>
      </c>
      <c r="C939" s="323"/>
      <c r="D939" s="216" t="s">
        <v>1597</v>
      </c>
      <c r="E939" s="303"/>
      <c r="F939" s="159"/>
      <c r="G939" s="303"/>
      <c r="H939" s="430"/>
      <c r="I939" s="304">
        <f>SUM(I943:I987)</f>
        <v>16143212.14</v>
      </c>
      <c r="J939" s="304">
        <f aca="true" t="shared" si="115" ref="J939:Z939">SUM(J940:J987)</f>
        <v>0</v>
      </c>
      <c r="K939" s="304">
        <f t="shared" si="115"/>
        <v>0</v>
      </c>
      <c r="L939" s="304">
        <f t="shared" si="115"/>
        <v>13292.14</v>
      </c>
      <c r="M939" s="304">
        <f t="shared" si="115"/>
        <v>16129920</v>
      </c>
      <c r="N939" s="304">
        <f t="shared" si="115"/>
        <v>0</v>
      </c>
      <c r="O939" s="304">
        <f t="shared" si="115"/>
        <v>13292.14</v>
      </c>
      <c r="P939" s="304">
        <f t="shared" si="115"/>
        <v>0</v>
      </c>
      <c r="Q939" s="304">
        <f t="shared" si="115"/>
        <v>0</v>
      </c>
      <c r="R939" s="304">
        <f t="shared" si="115"/>
        <v>1643000</v>
      </c>
      <c r="S939" s="304">
        <f t="shared" si="115"/>
        <v>2079000</v>
      </c>
      <c r="T939" s="304">
        <f t="shared" si="115"/>
        <v>2851920</v>
      </c>
      <c r="U939" s="304">
        <f t="shared" si="115"/>
        <v>3104000</v>
      </c>
      <c r="V939" s="304">
        <f t="shared" si="115"/>
        <v>980000</v>
      </c>
      <c r="W939" s="304">
        <f t="shared" si="115"/>
        <v>985000</v>
      </c>
      <c r="X939" s="304">
        <f t="shared" si="115"/>
        <v>4487000</v>
      </c>
      <c r="Y939" s="304">
        <f t="shared" si="115"/>
        <v>0</v>
      </c>
      <c r="Z939" s="304">
        <f t="shared" si="115"/>
        <v>750466.48</v>
      </c>
      <c r="AA939" s="408">
        <f t="shared" si="111"/>
        <v>8940745.66</v>
      </c>
    </row>
    <row r="940" spans="1:27" ht="31.5" customHeight="1" hidden="1">
      <c r="A940" s="569"/>
      <c r="B940" s="512"/>
      <c r="C940" s="306" t="s">
        <v>579</v>
      </c>
      <c r="D940" s="324" t="s">
        <v>1439</v>
      </c>
      <c r="E940" s="292"/>
      <c r="F940" s="143"/>
      <c r="G940" s="292"/>
      <c r="H940" s="428"/>
      <c r="I940" s="307" t="e">
        <f>J940+#REF!+K940+L940+M940+#REF!+#REF!</f>
        <v>#REF!</v>
      </c>
      <c r="J940" s="307"/>
      <c r="K940" s="307"/>
      <c r="L940" s="307"/>
      <c r="M940" s="307"/>
      <c r="N940" s="408"/>
      <c r="O940" s="408"/>
      <c r="P940" s="408"/>
      <c r="Q940" s="408"/>
      <c r="R940" s="408"/>
      <c r="S940" s="408"/>
      <c r="T940" s="408"/>
      <c r="U940" s="408"/>
      <c r="V940" s="408"/>
      <c r="W940" s="408"/>
      <c r="X940" s="408"/>
      <c r="Y940" s="408"/>
      <c r="Z940" s="408"/>
      <c r="AA940" s="408">
        <f t="shared" si="111"/>
        <v>0</v>
      </c>
    </row>
    <row r="941" spans="1:27" ht="31.5" customHeight="1" hidden="1">
      <c r="A941" s="569"/>
      <c r="B941" s="512"/>
      <c r="C941" s="306" t="s">
        <v>1440</v>
      </c>
      <c r="D941" s="324" t="s">
        <v>184</v>
      </c>
      <c r="E941" s="292">
        <v>570.5</v>
      </c>
      <c r="F941" s="143">
        <f aca="true" t="shared" si="116" ref="F941:F958">100%-((E941-G941)/E941)</f>
        <v>1</v>
      </c>
      <c r="G941" s="292">
        <v>570.5</v>
      </c>
      <c r="H941" s="428"/>
      <c r="I941" s="307" t="e">
        <f>J941+#REF!+K941+L941+M941+#REF!+#REF!</f>
        <v>#REF!</v>
      </c>
      <c r="J941" s="307"/>
      <c r="K941" s="307"/>
      <c r="L941" s="307"/>
      <c r="M941" s="307"/>
      <c r="N941" s="408"/>
      <c r="O941" s="408"/>
      <c r="P941" s="408"/>
      <c r="Q941" s="408"/>
      <c r="R941" s="408"/>
      <c r="S941" s="408"/>
      <c r="T941" s="408"/>
      <c r="U941" s="408"/>
      <c r="V941" s="408"/>
      <c r="W941" s="408"/>
      <c r="X941" s="408"/>
      <c r="Y941" s="408"/>
      <c r="Z941" s="408"/>
      <c r="AA941" s="408">
        <f t="shared" si="111"/>
        <v>0</v>
      </c>
    </row>
    <row r="942" spans="1:27" ht="31.5" customHeight="1" hidden="1">
      <c r="A942" s="569"/>
      <c r="B942" s="512"/>
      <c r="C942" s="306"/>
      <c r="D942" s="324" t="s">
        <v>185</v>
      </c>
      <c r="E942" s="292">
        <v>2217.637</v>
      </c>
      <c r="F942" s="143">
        <f t="shared" si="116"/>
        <v>1</v>
      </c>
      <c r="G942" s="292">
        <v>2217.637</v>
      </c>
      <c r="H942" s="428"/>
      <c r="I942" s="307" t="e">
        <f>J942+#REF!+K942+L942+M942+#REF!+#REF!</f>
        <v>#REF!</v>
      </c>
      <c r="J942" s="307"/>
      <c r="K942" s="307"/>
      <c r="L942" s="307"/>
      <c r="M942" s="307"/>
      <c r="N942" s="408"/>
      <c r="O942" s="408"/>
      <c r="P942" s="408"/>
      <c r="Q942" s="408"/>
      <c r="R942" s="408"/>
      <c r="S942" s="408"/>
      <c r="T942" s="408"/>
      <c r="U942" s="408"/>
      <c r="V942" s="408"/>
      <c r="W942" s="408"/>
      <c r="X942" s="408"/>
      <c r="Y942" s="408"/>
      <c r="Z942" s="408"/>
      <c r="AA942" s="408">
        <f t="shared" si="111"/>
        <v>0</v>
      </c>
    </row>
    <row r="943" spans="1:27" ht="31.5">
      <c r="A943" s="569"/>
      <c r="B943" s="512"/>
      <c r="C943" s="306"/>
      <c r="D943" s="324" t="s">
        <v>946</v>
      </c>
      <c r="E943" s="292">
        <v>810.5</v>
      </c>
      <c r="F943" s="143">
        <f t="shared" si="116"/>
        <v>1</v>
      </c>
      <c r="G943" s="292">
        <v>810.5</v>
      </c>
      <c r="H943" s="428">
        <v>3142</v>
      </c>
      <c r="I943" s="307">
        <v>3483.45</v>
      </c>
      <c r="J943" s="307"/>
      <c r="K943" s="307"/>
      <c r="L943" s="307">
        <v>3483.45</v>
      </c>
      <c r="M943" s="307"/>
      <c r="N943" s="408"/>
      <c r="O943" s="307">
        <v>3483.45</v>
      </c>
      <c r="P943" s="408"/>
      <c r="Q943" s="408"/>
      <c r="R943" s="408"/>
      <c r="S943" s="408"/>
      <c r="T943" s="408"/>
      <c r="U943" s="408"/>
      <c r="V943" s="408"/>
      <c r="W943" s="408"/>
      <c r="X943" s="408"/>
      <c r="Y943" s="408"/>
      <c r="Z943" s="307">
        <v>3483.45</v>
      </c>
      <c r="AA943" s="408">
        <f t="shared" si="111"/>
        <v>0</v>
      </c>
    </row>
    <row r="944" spans="1:27" ht="15.75" customHeight="1" hidden="1">
      <c r="A944" s="569"/>
      <c r="B944" s="512"/>
      <c r="C944" s="306"/>
      <c r="D944" s="14" t="s">
        <v>947</v>
      </c>
      <c r="E944" s="292">
        <v>400</v>
      </c>
      <c r="F944" s="143">
        <f t="shared" si="116"/>
        <v>1</v>
      </c>
      <c r="G944" s="292">
        <v>400</v>
      </c>
      <c r="H944" s="428"/>
      <c r="I944" s="307">
        <v>0</v>
      </c>
      <c r="J944" s="307"/>
      <c r="K944" s="307"/>
      <c r="L944" s="49"/>
      <c r="M944" s="307"/>
      <c r="N944" s="408"/>
      <c r="O944" s="307">
        <v>0</v>
      </c>
      <c r="P944" s="408"/>
      <c r="Q944" s="408"/>
      <c r="R944" s="408"/>
      <c r="S944" s="408"/>
      <c r="T944" s="408"/>
      <c r="U944" s="408"/>
      <c r="V944" s="408"/>
      <c r="W944" s="408"/>
      <c r="X944" s="408"/>
      <c r="Y944" s="408"/>
      <c r="Z944" s="307">
        <v>0</v>
      </c>
      <c r="AA944" s="408">
        <f t="shared" si="111"/>
        <v>0</v>
      </c>
    </row>
    <row r="945" spans="1:27" ht="15.75" customHeight="1" hidden="1">
      <c r="A945" s="569"/>
      <c r="B945" s="512"/>
      <c r="C945" s="306"/>
      <c r="D945" s="14" t="s">
        <v>948</v>
      </c>
      <c r="E945" s="292">
        <v>5000</v>
      </c>
      <c r="F945" s="143">
        <f t="shared" si="116"/>
        <v>0.331</v>
      </c>
      <c r="G945" s="292">
        <v>1655.5</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1"/>
        <v>0</v>
      </c>
    </row>
    <row r="946" spans="1:27" ht="31.5" customHeight="1" hidden="1">
      <c r="A946" s="569"/>
      <c r="B946" s="512"/>
      <c r="C946" s="306" t="s">
        <v>949</v>
      </c>
      <c r="D946" s="14" t="s">
        <v>950</v>
      </c>
      <c r="E946" s="292">
        <v>4832.655</v>
      </c>
      <c r="F946" s="143">
        <f t="shared" si="116"/>
        <v>1</v>
      </c>
      <c r="G946" s="292">
        <v>4832.655</v>
      </c>
      <c r="H946" s="428"/>
      <c r="I946" s="307">
        <v>0</v>
      </c>
      <c r="J946" s="307"/>
      <c r="K946" s="307"/>
      <c r="L946" s="49"/>
      <c r="M946" s="307"/>
      <c r="N946" s="408"/>
      <c r="O946" s="307">
        <v>0</v>
      </c>
      <c r="P946" s="408"/>
      <c r="Q946" s="408"/>
      <c r="R946" s="408"/>
      <c r="S946" s="408"/>
      <c r="T946" s="408"/>
      <c r="U946" s="408"/>
      <c r="V946" s="408"/>
      <c r="W946" s="408"/>
      <c r="X946" s="408"/>
      <c r="Y946" s="408"/>
      <c r="Z946" s="307">
        <v>0</v>
      </c>
      <c r="AA946" s="408">
        <f t="shared" si="111"/>
        <v>0</v>
      </c>
    </row>
    <row r="947" spans="1:27" ht="47.25">
      <c r="A947" s="569"/>
      <c r="B947" s="512"/>
      <c r="C947" s="306" t="s">
        <v>951</v>
      </c>
      <c r="D947" s="14" t="s">
        <v>921</v>
      </c>
      <c r="E947" s="292">
        <v>120</v>
      </c>
      <c r="F947" s="143">
        <f t="shared" si="116"/>
        <v>1</v>
      </c>
      <c r="G947" s="292">
        <v>120</v>
      </c>
      <c r="H947" s="428">
        <v>3142</v>
      </c>
      <c r="I947" s="307">
        <v>79.36</v>
      </c>
      <c r="J947" s="307"/>
      <c r="K947" s="307"/>
      <c r="L947" s="49">
        <v>79.36</v>
      </c>
      <c r="M947" s="307"/>
      <c r="N947" s="408"/>
      <c r="O947" s="307">
        <v>79.36</v>
      </c>
      <c r="P947" s="408"/>
      <c r="Q947" s="408"/>
      <c r="R947" s="408"/>
      <c r="S947" s="408"/>
      <c r="T947" s="408"/>
      <c r="U947" s="408"/>
      <c r="V947" s="408"/>
      <c r="W947" s="408"/>
      <c r="X947" s="408"/>
      <c r="Y947" s="408"/>
      <c r="Z947" s="307">
        <v>79.36</v>
      </c>
      <c r="AA947" s="408">
        <f t="shared" si="111"/>
        <v>0</v>
      </c>
    </row>
    <row r="948" spans="1:27" ht="15.75" customHeight="1" hidden="1">
      <c r="A948" s="569"/>
      <c r="B948" s="512"/>
      <c r="C948" s="306" t="s">
        <v>922</v>
      </c>
      <c r="D948" s="14" t="s">
        <v>923</v>
      </c>
      <c r="E948" s="292">
        <v>14.36</v>
      </c>
      <c r="F948" s="143">
        <f t="shared" si="116"/>
        <v>1</v>
      </c>
      <c r="G948" s="292">
        <v>14.36</v>
      </c>
      <c r="H948" s="428"/>
      <c r="I948" s="307">
        <v>0</v>
      </c>
      <c r="J948" s="307"/>
      <c r="K948" s="307"/>
      <c r="L948" s="49"/>
      <c r="M948" s="307"/>
      <c r="N948" s="408"/>
      <c r="O948" s="307">
        <v>0</v>
      </c>
      <c r="P948" s="408"/>
      <c r="Q948" s="408"/>
      <c r="R948" s="408"/>
      <c r="S948" s="408"/>
      <c r="T948" s="408"/>
      <c r="U948" s="408"/>
      <c r="V948" s="408"/>
      <c r="W948" s="408"/>
      <c r="X948" s="408"/>
      <c r="Y948" s="408"/>
      <c r="Z948" s="307">
        <v>0</v>
      </c>
      <c r="AA948" s="408">
        <f t="shared" si="111"/>
        <v>0</v>
      </c>
    </row>
    <row r="949" spans="1:27" ht="15.75" customHeight="1" hidden="1">
      <c r="A949" s="569"/>
      <c r="B949" s="512"/>
      <c r="C949" s="306" t="s">
        <v>924</v>
      </c>
      <c r="D949" s="14" t="s">
        <v>925</v>
      </c>
      <c r="E949" s="292">
        <v>10000</v>
      </c>
      <c r="F949" s="143">
        <f t="shared" si="116"/>
        <v>1</v>
      </c>
      <c r="G949" s="292">
        <v>10000</v>
      </c>
      <c r="H949" s="428"/>
      <c r="I949" s="307">
        <v>0</v>
      </c>
      <c r="J949" s="307"/>
      <c r="K949" s="307"/>
      <c r="L949" s="94"/>
      <c r="M949" s="307"/>
      <c r="N949" s="408"/>
      <c r="O949" s="307">
        <v>0</v>
      </c>
      <c r="P949" s="408"/>
      <c r="Q949" s="408"/>
      <c r="R949" s="408"/>
      <c r="S949" s="408"/>
      <c r="T949" s="408"/>
      <c r="U949" s="408"/>
      <c r="V949" s="408"/>
      <c r="W949" s="408"/>
      <c r="X949" s="408"/>
      <c r="Y949" s="408"/>
      <c r="Z949" s="307">
        <v>0</v>
      </c>
      <c r="AA949" s="408">
        <f t="shared" si="111"/>
        <v>0</v>
      </c>
    </row>
    <row r="950" spans="1:27" ht="15.75" customHeight="1" hidden="1">
      <c r="A950" s="569"/>
      <c r="B950" s="512"/>
      <c r="C950" s="325" t="s">
        <v>926</v>
      </c>
      <c r="D950" s="83" t="s">
        <v>927</v>
      </c>
      <c r="E950" s="292">
        <v>3092.10361</v>
      </c>
      <c r="F950" s="143">
        <f t="shared" si="116"/>
        <v>1</v>
      </c>
      <c r="G950" s="292">
        <v>3092.10361</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1"/>
        <v>0</v>
      </c>
    </row>
    <row r="951" spans="1:27" ht="47.25" customHeight="1" hidden="1">
      <c r="A951" s="569"/>
      <c r="B951" s="512"/>
      <c r="C951" s="325"/>
      <c r="D951" s="83" t="s">
        <v>959</v>
      </c>
      <c r="E951" s="292">
        <v>3882.655</v>
      </c>
      <c r="F951" s="143">
        <f t="shared" si="116"/>
        <v>1</v>
      </c>
      <c r="G951" s="292">
        <v>3882.655</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1"/>
        <v>0</v>
      </c>
    </row>
    <row r="952" spans="1:27" ht="31.5" customHeight="1" hidden="1">
      <c r="A952" s="569"/>
      <c r="B952" s="512"/>
      <c r="C952" s="325"/>
      <c r="D952" s="83" t="s">
        <v>928</v>
      </c>
      <c r="E952" s="292">
        <v>450</v>
      </c>
      <c r="F952" s="143">
        <f t="shared" si="116"/>
        <v>1</v>
      </c>
      <c r="G952" s="292">
        <v>450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1"/>
        <v>0</v>
      </c>
    </row>
    <row r="953" spans="1:27" ht="31.5" customHeight="1" hidden="1">
      <c r="A953" s="569"/>
      <c r="B953" s="512"/>
      <c r="C953" s="325"/>
      <c r="D953" s="83" t="s">
        <v>1231</v>
      </c>
      <c r="E953" s="292">
        <v>500</v>
      </c>
      <c r="F953" s="143">
        <f t="shared" si="116"/>
        <v>1</v>
      </c>
      <c r="G953" s="292">
        <v>500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1"/>
        <v>0</v>
      </c>
    </row>
    <row r="954" spans="1:27" ht="31.5" customHeight="1" hidden="1">
      <c r="A954" s="569"/>
      <c r="B954" s="512"/>
      <c r="C954" s="325"/>
      <c r="D954" s="83" t="s">
        <v>1606</v>
      </c>
      <c r="E954" s="292">
        <v>200</v>
      </c>
      <c r="F954" s="143">
        <f t="shared" si="116"/>
        <v>1</v>
      </c>
      <c r="G954" s="292">
        <v>200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1"/>
        <v>0</v>
      </c>
    </row>
    <row r="955" spans="1:27" ht="31.5" customHeight="1" hidden="1">
      <c r="A955" s="569"/>
      <c r="B955" s="512"/>
      <c r="C955" s="325"/>
      <c r="D955" s="83" t="s">
        <v>1101</v>
      </c>
      <c r="E955" s="292">
        <v>200</v>
      </c>
      <c r="F955" s="143">
        <f t="shared" si="116"/>
        <v>1</v>
      </c>
      <c r="G955" s="292">
        <v>200</v>
      </c>
      <c r="H955" s="428"/>
      <c r="I955" s="307">
        <v>0</v>
      </c>
      <c r="J955" s="307"/>
      <c r="K955" s="307"/>
      <c r="L955" s="307"/>
      <c r="M955" s="307"/>
      <c r="N955" s="408"/>
      <c r="O955" s="307">
        <v>0</v>
      </c>
      <c r="P955" s="408"/>
      <c r="Q955" s="408"/>
      <c r="R955" s="408"/>
      <c r="S955" s="408"/>
      <c r="T955" s="408"/>
      <c r="U955" s="408"/>
      <c r="V955" s="408"/>
      <c r="W955" s="408"/>
      <c r="X955" s="408"/>
      <c r="Y955" s="408"/>
      <c r="Z955" s="307">
        <v>0</v>
      </c>
      <c r="AA955" s="408">
        <f t="shared" si="111"/>
        <v>0</v>
      </c>
    </row>
    <row r="956" spans="1:27" ht="47.25" customHeight="1" hidden="1">
      <c r="A956" s="569"/>
      <c r="B956" s="512"/>
      <c r="C956" s="325"/>
      <c r="D956" s="83" t="s">
        <v>1102</v>
      </c>
      <c r="E956" s="292">
        <v>200</v>
      </c>
      <c r="F956" s="143">
        <f t="shared" si="116"/>
        <v>1</v>
      </c>
      <c r="G956" s="292">
        <v>200</v>
      </c>
      <c r="H956" s="428"/>
      <c r="I956" s="307">
        <v>0</v>
      </c>
      <c r="J956" s="307"/>
      <c r="K956" s="307"/>
      <c r="L956" s="307"/>
      <c r="M956" s="307"/>
      <c r="N956" s="408"/>
      <c r="O956" s="307">
        <v>0</v>
      </c>
      <c r="P956" s="408"/>
      <c r="Q956" s="408"/>
      <c r="R956" s="408"/>
      <c r="S956" s="408"/>
      <c r="T956" s="408"/>
      <c r="U956" s="408"/>
      <c r="V956" s="408"/>
      <c r="W956" s="408"/>
      <c r="X956" s="408"/>
      <c r="Y956" s="408"/>
      <c r="Z956" s="307">
        <v>0</v>
      </c>
      <c r="AA956" s="408">
        <f t="shared" si="111"/>
        <v>0</v>
      </c>
    </row>
    <row r="957" spans="1:27" ht="31.5" customHeight="1" hidden="1">
      <c r="A957" s="569"/>
      <c r="B957" s="512"/>
      <c r="C957" s="325"/>
      <c r="D957" s="83" t="s">
        <v>280</v>
      </c>
      <c r="E957" s="292">
        <v>150</v>
      </c>
      <c r="F957" s="143">
        <f t="shared" si="116"/>
        <v>1</v>
      </c>
      <c r="G957" s="292">
        <v>150</v>
      </c>
      <c r="H957" s="428"/>
      <c r="I957" s="307">
        <v>0</v>
      </c>
      <c r="J957" s="307"/>
      <c r="K957" s="307"/>
      <c r="L957" s="307"/>
      <c r="M957" s="307"/>
      <c r="N957" s="408"/>
      <c r="O957" s="307">
        <v>0</v>
      </c>
      <c r="P957" s="408"/>
      <c r="Q957" s="408"/>
      <c r="R957" s="408"/>
      <c r="S957" s="408"/>
      <c r="T957" s="408"/>
      <c r="U957" s="408"/>
      <c r="V957" s="408"/>
      <c r="W957" s="408"/>
      <c r="X957" s="408"/>
      <c r="Y957" s="408"/>
      <c r="Z957" s="307">
        <v>0</v>
      </c>
      <c r="AA957" s="408">
        <f t="shared" si="111"/>
        <v>0</v>
      </c>
    </row>
    <row r="958" spans="1:27" ht="47.25">
      <c r="A958" s="569"/>
      <c r="B958" s="512"/>
      <c r="C958" s="325"/>
      <c r="D958" s="83" t="s">
        <v>281</v>
      </c>
      <c r="E958" s="292">
        <v>976</v>
      </c>
      <c r="F958" s="143">
        <f t="shared" si="116"/>
        <v>1</v>
      </c>
      <c r="G958" s="292">
        <v>976</v>
      </c>
      <c r="H958" s="428">
        <v>3132</v>
      </c>
      <c r="I958" s="307">
        <v>9729.33</v>
      </c>
      <c r="J958" s="307"/>
      <c r="K958" s="307"/>
      <c r="L958" s="307">
        <v>9729.33</v>
      </c>
      <c r="M958" s="307"/>
      <c r="N958" s="408"/>
      <c r="O958" s="307">
        <v>9729.33</v>
      </c>
      <c r="P958" s="408"/>
      <c r="Q958" s="408"/>
      <c r="R958" s="408"/>
      <c r="S958" s="408"/>
      <c r="T958" s="408"/>
      <c r="U958" s="408"/>
      <c r="V958" s="408"/>
      <c r="W958" s="408"/>
      <c r="X958" s="408"/>
      <c r="Y958" s="408"/>
      <c r="Z958" s="307">
        <v>9729.33</v>
      </c>
      <c r="AA958" s="408">
        <f t="shared" si="111"/>
        <v>0</v>
      </c>
    </row>
    <row r="959" spans="1:27" s="362" customFormat="1" ht="31.5">
      <c r="A959" s="569"/>
      <c r="B959" s="512"/>
      <c r="C959" s="325"/>
      <c r="D959" s="376" t="s">
        <v>1618</v>
      </c>
      <c r="E959" s="292"/>
      <c r="F959" s="143"/>
      <c r="G959" s="292"/>
      <c r="H959" s="428">
        <v>3142</v>
      </c>
      <c r="I959" s="307">
        <v>50000</v>
      </c>
      <c r="J959" s="307"/>
      <c r="K959" s="307"/>
      <c r="L959" s="76"/>
      <c r="M959" s="76">
        <v>50000</v>
      </c>
      <c r="N959" s="408"/>
      <c r="O959" s="408"/>
      <c r="P959" s="408"/>
      <c r="Q959" s="408"/>
      <c r="R959" s="408"/>
      <c r="S959" s="408"/>
      <c r="T959" s="408"/>
      <c r="U959" s="408">
        <v>50000</v>
      </c>
      <c r="V959" s="408"/>
      <c r="W959" s="408"/>
      <c r="X959" s="408"/>
      <c r="Y959" s="408"/>
      <c r="Z959" s="408"/>
      <c r="AA959" s="408">
        <f t="shared" si="111"/>
        <v>50000</v>
      </c>
    </row>
    <row r="960" spans="1:27" s="362" customFormat="1" ht="31.5">
      <c r="A960" s="569"/>
      <c r="B960" s="512"/>
      <c r="C960" s="325"/>
      <c r="D960" s="376" t="s">
        <v>848</v>
      </c>
      <c r="E960" s="292"/>
      <c r="F960" s="143"/>
      <c r="G960" s="292"/>
      <c r="H960" s="428">
        <v>3122</v>
      </c>
      <c r="I960" s="307">
        <v>570500</v>
      </c>
      <c r="J960" s="307"/>
      <c r="K960" s="307"/>
      <c r="L960" s="76"/>
      <c r="M960" s="76">
        <v>570500</v>
      </c>
      <c r="N960" s="408"/>
      <c r="O960" s="408"/>
      <c r="P960" s="408"/>
      <c r="Q960" s="408"/>
      <c r="R960" s="408">
        <v>31000</v>
      </c>
      <c r="S960" s="408">
        <v>200000</v>
      </c>
      <c r="T960" s="408">
        <v>200000</v>
      </c>
      <c r="U960" s="408">
        <v>139500</v>
      </c>
      <c r="V960" s="408"/>
      <c r="W960" s="408"/>
      <c r="X960" s="408"/>
      <c r="Y960" s="408"/>
      <c r="Z960" s="408"/>
      <c r="AA960" s="408">
        <f t="shared" si="111"/>
        <v>570500</v>
      </c>
    </row>
    <row r="961" spans="1:27" s="362" customFormat="1" ht="31.5">
      <c r="A961" s="569"/>
      <c r="B961" s="512"/>
      <c r="C961" s="325"/>
      <c r="D961" s="376" t="s">
        <v>849</v>
      </c>
      <c r="E961" s="292"/>
      <c r="F961" s="143"/>
      <c r="G961" s="292"/>
      <c r="H961" s="428">
        <v>3142</v>
      </c>
      <c r="I961" s="307">
        <v>810500</v>
      </c>
      <c r="J961" s="307"/>
      <c r="K961" s="307"/>
      <c r="L961" s="76"/>
      <c r="M961" s="76">
        <v>810500</v>
      </c>
      <c r="N961" s="408"/>
      <c r="O961" s="408"/>
      <c r="P961" s="408"/>
      <c r="Q961" s="408"/>
      <c r="R961" s="408">
        <v>97000</v>
      </c>
      <c r="S961" s="408">
        <v>300000</v>
      </c>
      <c r="T961" s="408">
        <v>300000</v>
      </c>
      <c r="U961" s="408">
        <v>113500</v>
      </c>
      <c r="V961" s="408"/>
      <c r="W961" s="408"/>
      <c r="X961" s="408"/>
      <c r="Y961" s="408"/>
      <c r="Z961" s="408"/>
      <c r="AA961" s="408">
        <f t="shared" si="111"/>
        <v>810500</v>
      </c>
    </row>
    <row r="962" spans="1:27" s="362" customFormat="1" ht="31.5">
      <c r="A962" s="569"/>
      <c r="B962" s="512"/>
      <c r="C962" s="325"/>
      <c r="D962" s="376" t="s">
        <v>850</v>
      </c>
      <c r="E962" s="292"/>
      <c r="F962" s="143"/>
      <c r="G962" s="292"/>
      <c r="H962" s="428">
        <v>3132</v>
      </c>
      <c r="I962" s="307">
        <v>2019000</v>
      </c>
      <c r="J962" s="307"/>
      <c r="K962" s="307"/>
      <c r="L962" s="76"/>
      <c r="M962" s="76">
        <v>2019000</v>
      </c>
      <c r="N962" s="408"/>
      <c r="O962" s="408"/>
      <c r="P962" s="408"/>
      <c r="Q962" s="408"/>
      <c r="R962" s="408">
        <v>270000</v>
      </c>
      <c r="S962" s="408">
        <v>600000</v>
      </c>
      <c r="T962" s="408">
        <v>500000</v>
      </c>
      <c r="U962" s="408">
        <v>649000</v>
      </c>
      <c r="V962" s="408"/>
      <c r="W962" s="408"/>
      <c r="X962" s="408"/>
      <c r="Y962" s="408"/>
      <c r="Z962" s="408"/>
      <c r="AA962" s="408">
        <f t="shared" si="111"/>
        <v>2019000</v>
      </c>
    </row>
    <row r="963" spans="1:27" s="362" customFormat="1" ht="31.5">
      <c r="A963" s="569"/>
      <c r="B963" s="512"/>
      <c r="C963" s="325"/>
      <c r="D963" s="376" t="s">
        <v>1619</v>
      </c>
      <c r="E963" s="292"/>
      <c r="F963" s="143"/>
      <c r="G963" s="292"/>
      <c r="H963" s="428">
        <v>3122</v>
      </c>
      <c r="I963" s="307">
        <v>90000</v>
      </c>
      <c r="J963" s="307"/>
      <c r="K963" s="307"/>
      <c r="L963" s="76"/>
      <c r="M963" s="76">
        <v>90000</v>
      </c>
      <c r="N963" s="408"/>
      <c r="O963" s="408"/>
      <c r="P963" s="408"/>
      <c r="Q963" s="408"/>
      <c r="R963" s="408"/>
      <c r="S963" s="408"/>
      <c r="T963" s="408"/>
      <c r="U963" s="408">
        <v>20000</v>
      </c>
      <c r="V963" s="408">
        <v>35000</v>
      </c>
      <c r="W963" s="408">
        <v>35000</v>
      </c>
      <c r="X963" s="408"/>
      <c r="Y963" s="408"/>
      <c r="Z963" s="408"/>
      <c r="AA963" s="408">
        <f t="shared" si="111"/>
        <v>20000</v>
      </c>
    </row>
    <row r="964" spans="1:27" s="362" customFormat="1" ht="31.5">
      <c r="A964" s="569"/>
      <c r="B964" s="512"/>
      <c r="C964" s="325"/>
      <c r="D964" s="376" t="s">
        <v>1620</v>
      </c>
      <c r="E964" s="292"/>
      <c r="F964" s="143"/>
      <c r="G964" s="292"/>
      <c r="H964" s="428">
        <v>3142</v>
      </c>
      <c r="I964" s="307">
        <v>1400000</v>
      </c>
      <c r="J964" s="307"/>
      <c r="K964" s="307"/>
      <c r="L964" s="76"/>
      <c r="M964" s="76">
        <v>1400000</v>
      </c>
      <c r="N964" s="408"/>
      <c r="O964" s="408"/>
      <c r="P964" s="408"/>
      <c r="Q964" s="408"/>
      <c r="R964" s="408"/>
      <c r="S964" s="408"/>
      <c r="T964" s="408">
        <v>600000</v>
      </c>
      <c r="U964" s="408">
        <v>800000</v>
      </c>
      <c r="V964" s="408"/>
      <c r="W964" s="408"/>
      <c r="X964" s="408"/>
      <c r="Y964" s="408"/>
      <c r="Z964" s="408"/>
      <c r="AA964" s="408">
        <f t="shared" si="111"/>
        <v>1400000</v>
      </c>
    </row>
    <row r="965" spans="1:27" s="362" customFormat="1" ht="31.5">
      <c r="A965" s="569"/>
      <c r="B965" s="512"/>
      <c r="C965" s="325"/>
      <c r="D965" s="376" t="s">
        <v>1621</v>
      </c>
      <c r="E965" s="292"/>
      <c r="F965" s="143"/>
      <c r="G965" s="292"/>
      <c r="H965" s="428">
        <v>3142</v>
      </c>
      <c r="I965" s="307">
        <v>100000</v>
      </c>
      <c r="J965" s="307"/>
      <c r="K965" s="307"/>
      <c r="L965" s="76"/>
      <c r="M965" s="76">
        <v>100000</v>
      </c>
      <c r="N965" s="408"/>
      <c r="O965" s="408"/>
      <c r="P965" s="408"/>
      <c r="Q965" s="408"/>
      <c r="R965" s="408"/>
      <c r="S965" s="408"/>
      <c r="T965" s="408">
        <v>25000</v>
      </c>
      <c r="U965" s="408">
        <v>30000</v>
      </c>
      <c r="V965" s="408">
        <v>45000</v>
      </c>
      <c r="W965" s="408"/>
      <c r="X965" s="408"/>
      <c r="Y965" s="408"/>
      <c r="Z965" s="408"/>
      <c r="AA965" s="408">
        <f t="shared" si="111"/>
        <v>55000</v>
      </c>
    </row>
    <row r="966" spans="1:27" s="362" customFormat="1" ht="15.75">
      <c r="A966" s="569"/>
      <c r="B966" s="512"/>
      <c r="C966" s="325"/>
      <c r="D966" s="376" t="s">
        <v>1622</v>
      </c>
      <c r="E966" s="292"/>
      <c r="F966" s="143"/>
      <c r="G966" s="292"/>
      <c r="H966" s="428">
        <v>3142</v>
      </c>
      <c r="I966" s="307">
        <v>2000000</v>
      </c>
      <c r="J966" s="307"/>
      <c r="K966" s="307"/>
      <c r="L966" s="76"/>
      <c r="M966" s="76">
        <v>2000000</v>
      </c>
      <c r="N966" s="408"/>
      <c r="O966" s="408"/>
      <c r="P966" s="408"/>
      <c r="Q966" s="408"/>
      <c r="R966" s="408">
        <v>285000</v>
      </c>
      <c r="S966" s="408"/>
      <c r="T966" s="408"/>
      <c r="U966" s="408">
        <f>515000-300000</f>
        <v>215000</v>
      </c>
      <c r="V966" s="408">
        <f>600000-600000</f>
        <v>0</v>
      </c>
      <c r="W966" s="408">
        <f>600000-600000</f>
        <v>0</v>
      </c>
      <c r="X966" s="408">
        <v>1500000</v>
      </c>
      <c r="Y966" s="408"/>
      <c r="Z966" s="408">
        <v>159702.2</v>
      </c>
      <c r="AA966" s="408">
        <f t="shared" si="111"/>
        <v>340297.8</v>
      </c>
    </row>
    <row r="967" spans="1:27" s="362" customFormat="1" ht="15.75">
      <c r="A967" s="569"/>
      <c r="B967" s="512"/>
      <c r="C967" s="325"/>
      <c r="D967" s="13" t="s">
        <v>1623</v>
      </c>
      <c r="E967" s="292"/>
      <c r="F967" s="143"/>
      <c r="G967" s="292"/>
      <c r="H967" s="428">
        <v>3142</v>
      </c>
      <c r="I967" s="307">
        <v>200000</v>
      </c>
      <c r="J967" s="307"/>
      <c r="K967" s="307"/>
      <c r="L967" s="76"/>
      <c r="M967" s="76">
        <v>200000</v>
      </c>
      <c r="N967" s="408"/>
      <c r="O967" s="408"/>
      <c r="P967" s="408"/>
      <c r="Q967" s="408"/>
      <c r="R967" s="408">
        <v>50000</v>
      </c>
      <c r="S967" s="408"/>
      <c r="T967" s="408"/>
      <c r="U967" s="408">
        <v>75000</v>
      </c>
      <c r="V967" s="408">
        <v>75000</v>
      </c>
      <c r="W967" s="408"/>
      <c r="X967" s="408"/>
      <c r="Y967" s="408"/>
      <c r="Z967" s="408"/>
      <c r="AA967" s="408">
        <f t="shared" si="111"/>
        <v>125000</v>
      </c>
    </row>
    <row r="968" spans="1:27" s="362" customFormat="1" ht="47.25">
      <c r="A968" s="569"/>
      <c r="B968" s="512"/>
      <c r="C968" s="325"/>
      <c r="D968" s="13" t="s">
        <v>1624</v>
      </c>
      <c r="E968" s="292"/>
      <c r="F968" s="143"/>
      <c r="G968" s="292"/>
      <c r="H968" s="428">
        <v>3142</v>
      </c>
      <c r="I968" s="307">
        <v>650000</v>
      </c>
      <c r="J968" s="307"/>
      <c r="K968" s="307"/>
      <c r="L968" s="76"/>
      <c r="M968" s="76">
        <v>650000</v>
      </c>
      <c r="N968" s="408"/>
      <c r="O968" s="408"/>
      <c r="P968" s="408"/>
      <c r="Q968" s="408"/>
      <c r="R968" s="408">
        <v>50000</v>
      </c>
      <c r="S968" s="408">
        <v>300000</v>
      </c>
      <c r="T968" s="408">
        <v>300000</v>
      </c>
      <c r="U968" s="408"/>
      <c r="V968" s="408"/>
      <c r="W968" s="408"/>
      <c r="X968" s="408"/>
      <c r="Y968" s="408"/>
      <c r="Z968" s="408"/>
      <c r="AA968" s="408">
        <f t="shared" si="111"/>
        <v>650000</v>
      </c>
    </row>
    <row r="969" spans="1:27" s="362" customFormat="1" ht="52.5" customHeight="1">
      <c r="A969" s="569"/>
      <c r="B969" s="512"/>
      <c r="C969" s="325"/>
      <c r="D969" s="13" t="s">
        <v>1271</v>
      </c>
      <c r="E969" s="292"/>
      <c r="F969" s="143"/>
      <c r="G969" s="292"/>
      <c r="H969" s="428">
        <v>3142</v>
      </c>
      <c r="I969" s="307">
        <v>3700000</v>
      </c>
      <c r="J969" s="307"/>
      <c r="K969" s="307"/>
      <c r="L969" s="76"/>
      <c r="M969" s="76">
        <v>3700000</v>
      </c>
      <c r="N969" s="408"/>
      <c r="O969" s="408"/>
      <c r="P969" s="408"/>
      <c r="Q969" s="408"/>
      <c r="R969" s="408">
        <v>80000</v>
      </c>
      <c r="S969" s="408">
        <f>100000+100000</f>
        <v>200000</v>
      </c>
      <c r="T969" s="408">
        <f>100000-100000+50000</f>
        <v>50000</v>
      </c>
      <c r="U969" s="408"/>
      <c r="V969" s="408">
        <f>1000000-1000000</f>
        <v>0</v>
      </c>
      <c r="W969" s="408">
        <f>1000000-50000</f>
        <v>950000</v>
      </c>
      <c r="X969" s="408">
        <f>1420000+1000000</f>
        <v>2420000</v>
      </c>
      <c r="Y969" s="408"/>
      <c r="Z969" s="408">
        <f>250000-250000+250000+32320.94</f>
        <v>282320.94</v>
      </c>
      <c r="AA969" s="408">
        <f t="shared" si="111"/>
        <v>47679.06</v>
      </c>
    </row>
    <row r="970" spans="1:27" s="362" customFormat="1" ht="15.75">
      <c r="A970" s="569"/>
      <c r="B970" s="512"/>
      <c r="C970" s="325"/>
      <c r="D970" s="13" t="s">
        <v>6</v>
      </c>
      <c r="E970" s="292"/>
      <c r="F970" s="143"/>
      <c r="G970" s="292"/>
      <c r="H970" s="428">
        <v>3142</v>
      </c>
      <c r="I970" s="307">
        <v>2000000</v>
      </c>
      <c r="J970" s="307"/>
      <c r="K970" s="307"/>
      <c r="L970" s="76"/>
      <c r="M970" s="76">
        <v>2000000</v>
      </c>
      <c r="N970" s="408"/>
      <c r="O970" s="408"/>
      <c r="P970" s="408"/>
      <c r="Q970" s="408"/>
      <c r="R970" s="408">
        <f>500000-8000</f>
        <v>492000</v>
      </c>
      <c r="S970" s="408">
        <v>8000</v>
      </c>
      <c r="T970" s="408"/>
      <c r="U970" s="408">
        <v>750000</v>
      </c>
      <c r="V970" s="408">
        <v>750000</v>
      </c>
      <c r="W970" s="408"/>
      <c r="X970" s="408"/>
      <c r="Y970" s="408"/>
      <c r="Z970" s="408">
        <f>118203+156797</f>
        <v>275000</v>
      </c>
      <c r="AA970" s="408">
        <f t="shared" si="111"/>
        <v>975000</v>
      </c>
    </row>
    <row r="971" spans="1:27" s="362" customFormat="1" ht="31.5">
      <c r="A971" s="569"/>
      <c r="B971" s="512"/>
      <c r="C971" s="325"/>
      <c r="D971" s="13" t="s">
        <v>1174</v>
      </c>
      <c r="E971" s="292"/>
      <c r="F971" s="143"/>
      <c r="G971" s="292"/>
      <c r="H971" s="428">
        <v>3142</v>
      </c>
      <c r="I971" s="307">
        <v>200000</v>
      </c>
      <c r="J971" s="307"/>
      <c r="K971" s="307"/>
      <c r="L971" s="76"/>
      <c r="M971" s="76">
        <v>200000</v>
      </c>
      <c r="N971" s="408"/>
      <c r="O971" s="408"/>
      <c r="P971" s="408"/>
      <c r="Q971" s="408"/>
      <c r="R971" s="408">
        <v>100000</v>
      </c>
      <c r="S971" s="408">
        <v>-100000</v>
      </c>
      <c r="T971" s="408">
        <f>100000+100000</f>
        <v>200000</v>
      </c>
      <c r="U971" s="408"/>
      <c r="V971" s="408"/>
      <c r="W971" s="408"/>
      <c r="X971" s="408"/>
      <c r="Y971" s="408"/>
      <c r="Z971" s="408"/>
      <c r="AA971" s="408">
        <f t="shared" si="111"/>
        <v>200000</v>
      </c>
    </row>
    <row r="972" spans="1:27" s="362" customFormat="1" ht="15.75">
      <c r="A972" s="569"/>
      <c r="B972" s="512"/>
      <c r="C972" s="325"/>
      <c r="D972" s="13" t="s">
        <v>1175</v>
      </c>
      <c r="E972" s="292"/>
      <c r="F972" s="143"/>
      <c r="G972" s="292"/>
      <c r="H972" s="428">
        <v>3142</v>
      </c>
      <c r="I972" s="307">
        <v>200000</v>
      </c>
      <c r="J972" s="307"/>
      <c r="K972" s="307"/>
      <c r="L972" s="76"/>
      <c r="M972" s="76">
        <v>200000</v>
      </c>
      <c r="N972" s="408"/>
      <c r="O972" s="408"/>
      <c r="P972" s="408"/>
      <c r="Q972" s="408"/>
      <c r="R972" s="408">
        <v>50000</v>
      </c>
      <c r="S972" s="408"/>
      <c r="T972" s="408"/>
      <c r="U972" s="408">
        <v>75000</v>
      </c>
      <c r="V972" s="408">
        <v>75000</v>
      </c>
      <c r="W972" s="408"/>
      <c r="X972" s="408"/>
      <c r="Y972" s="408"/>
      <c r="Z972" s="408"/>
      <c r="AA972" s="408">
        <f t="shared" si="111"/>
        <v>125000</v>
      </c>
    </row>
    <row r="973" spans="1:27" s="362" customFormat="1" ht="31.5">
      <c r="A973" s="569"/>
      <c r="B973" s="512"/>
      <c r="C973" s="325"/>
      <c r="D973" s="13" t="s">
        <v>928</v>
      </c>
      <c r="E973" s="292"/>
      <c r="F973" s="143"/>
      <c r="G973" s="292"/>
      <c r="H973" s="428">
        <v>3142</v>
      </c>
      <c r="I973" s="307">
        <v>1000000</v>
      </c>
      <c r="J973" s="307"/>
      <c r="K973" s="307"/>
      <c r="L973" s="76"/>
      <c r="M973" s="76">
        <v>1000000</v>
      </c>
      <c r="N973" s="408"/>
      <c r="O973" s="408"/>
      <c r="P973" s="408"/>
      <c r="Q973" s="408"/>
      <c r="R973" s="408">
        <v>70000</v>
      </c>
      <c r="S973" s="408">
        <v>80000</v>
      </c>
      <c r="T973" s="408">
        <v>283000</v>
      </c>
      <c r="U973" s="408">
        <f>283000-283000</f>
        <v>0</v>
      </c>
      <c r="V973" s="408">
        <f>284000-284000</f>
        <v>0</v>
      </c>
      <c r="W973" s="408"/>
      <c r="X973" s="408">
        <v>567000</v>
      </c>
      <c r="Y973" s="408"/>
      <c r="Z973" s="408"/>
      <c r="AA973" s="408">
        <f t="shared" si="111"/>
        <v>433000</v>
      </c>
    </row>
    <row r="974" spans="1:27" s="362" customFormat="1" ht="31.5">
      <c r="A974" s="569"/>
      <c r="B974" s="512"/>
      <c r="C974" s="325"/>
      <c r="D974" s="14" t="s">
        <v>1176</v>
      </c>
      <c r="E974" s="292"/>
      <c r="F974" s="143"/>
      <c r="G974" s="292"/>
      <c r="H974" s="428">
        <v>3132</v>
      </c>
      <c r="I974" s="307">
        <v>303000</v>
      </c>
      <c r="J974" s="307"/>
      <c r="K974" s="307"/>
      <c r="L974" s="76"/>
      <c r="M974" s="76">
        <v>303000</v>
      </c>
      <c r="N974" s="408"/>
      <c r="O974" s="408"/>
      <c r="P974" s="408"/>
      <c r="Q974" s="408"/>
      <c r="R974" s="408"/>
      <c r="S974" s="408"/>
      <c r="T974" s="408">
        <v>303000</v>
      </c>
      <c r="U974" s="408"/>
      <c r="V974" s="408"/>
      <c r="W974" s="408"/>
      <c r="X974" s="408"/>
      <c r="Y974" s="408"/>
      <c r="Z974" s="408"/>
      <c r="AA974" s="408">
        <f t="shared" si="111"/>
        <v>303000</v>
      </c>
    </row>
    <row r="975" spans="1:27" s="362" customFormat="1" ht="31.5">
      <c r="A975" s="569"/>
      <c r="B975" s="512"/>
      <c r="C975" s="325"/>
      <c r="D975" s="14" t="s">
        <v>1177</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v>1320</v>
      </c>
      <c r="AA975" s="408">
        <f t="shared" si="111"/>
        <v>1680</v>
      </c>
    </row>
    <row r="976" spans="1:27" s="362" customFormat="1" ht="31.5">
      <c r="A976" s="569"/>
      <c r="B976" s="512"/>
      <c r="C976" s="325"/>
      <c r="D976" s="14" t="s">
        <v>1178</v>
      </c>
      <c r="E976" s="292"/>
      <c r="F976" s="143"/>
      <c r="G976" s="292"/>
      <c r="H976" s="428">
        <v>3132</v>
      </c>
      <c r="I976" s="307">
        <v>3000</v>
      </c>
      <c r="J976" s="307"/>
      <c r="K976" s="307"/>
      <c r="L976" s="76"/>
      <c r="M976" s="76">
        <v>3000</v>
      </c>
      <c r="N976" s="408"/>
      <c r="O976" s="408"/>
      <c r="P976" s="408"/>
      <c r="Q976" s="408"/>
      <c r="R976" s="408"/>
      <c r="S976" s="408"/>
      <c r="T976" s="408"/>
      <c r="U976" s="408">
        <v>3000</v>
      </c>
      <c r="V976" s="408"/>
      <c r="W976" s="408"/>
      <c r="X976" s="408"/>
      <c r="Y976" s="408"/>
      <c r="Z976" s="408">
        <v>1123.2</v>
      </c>
      <c r="AA976" s="408">
        <f t="shared" si="111"/>
        <v>1876.8</v>
      </c>
    </row>
    <row r="977" spans="1:27" s="362" customFormat="1" ht="31.5">
      <c r="A977" s="569"/>
      <c r="B977" s="512"/>
      <c r="C977" s="325"/>
      <c r="D977" s="14" t="s">
        <v>1611</v>
      </c>
      <c r="E977" s="292"/>
      <c r="F977" s="143"/>
      <c r="G977" s="292"/>
      <c r="H977" s="428">
        <v>3132</v>
      </c>
      <c r="I977" s="307">
        <v>3000</v>
      </c>
      <c r="J977" s="307"/>
      <c r="K977" s="307"/>
      <c r="L977" s="76"/>
      <c r="M977" s="76">
        <v>3000</v>
      </c>
      <c r="N977" s="408"/>
      <c r="O977" s="408"/>
      <c r="P977" s="408"/>
      <c r="Q977" s="408"/>
      <c r="R977" s="408"/>
      <c r="S977" s="408"/>
      <c r="T977" s="408"/>
      <c r="U977" s="408">
        <v>3000</v>
      </c>
      <c r="V977" s="408"/>
      <c r="W977" s="408"/>
      <c r="X977" s="408"/>
      <c r="Y977" s="408"/>
      <c r="Z977" s="408">
        <v>1066.8</v>
      </c>
      <c r="AA977" s="408">
        <f t="shared" si="111"/>
        <v>1933.2</v>
      </c>
    </row>
    <row r="978" spans="1:27" s="362" customFormat="1" ht="31.5">
      <c r="A978" s="569"/>
      <c r="B978" s="512"/>
      <c r="C978" s="325"/>
      <c r="D978" s="14" t="s">
        <v>1612</v>
      </c>
      <c r="E978" s="292"/>
      <c r="F978" s="143"/>
      <c r="G978" s="292"/>
      <c r="H978" s="428">
        <v>3132</v>
      </c>
      <c r="I978" s="307">
        <v>3000</v>
      </c>
      <c r="J978" s="307"/>
      <c r="K978" s="307"/>
      <c r="L978" s="76"/>
      <c r="M978" s="76">
        <v>3000</v>
      </c>
      <c r="N978" s="408"/>
      <c r="O978" s="408"/>
      <c r="P978" s="408"/>
      <c r="Q978" s="408"/>
      <c r="R978" s="408"/>
      <c r="S978" s="408"/>
      <c r="T978" s="408"/>
      <c r="U978" s="408">
        <v>3000</v>
      </c>
      <c r="V978" s="408"/>
      <c r="W978" s="408"/>
      <c r="X978" s="408"/>
      <c r="Y978" s="408"/>
      <c r="Z978" s="408">
        <v>944.4</v>
      </c>
      <c r="AA978" s="408">
        <f t="shared" si="111"/>
        <v>2055.6</v>
      </c>
    </row>
    <row r="979" spans="1:27" s="362" customFormat="1" ht="31.5">
      <c r="A979" s="569"/>
      <c r="B979" s="512"/>
      <c r="C979" s="325"/>
      <c r="D979" s="14" t="s">
        <v>9</v>
      </c>
      <c r="E979" s="292"/>
      <c r="F979" s="143"/>
      <c r="G979" s="292"/>
      <c r="H979" s="428">
        <v>3132</v>
      </c>
      <c r="I979" s="307">
        <v>30000</v>
      </c>
      <c r="J979" s="307"/>
      <c r="K979" s="307"/>
      <c r="L979" s="76"/>
      <c r="M979" s="76">
        <v>30000</v>
      </c>
      <c r="N979" s="408"/>
      <c r="O979" s="408"/>
      <c r="P979" s="408"/>
      <c r="Q979" s="408"/>
      <c r="R979" s="408"/>
      <c r="S979" s="408">
        <v>15000</v>
      </c>
      <c r="T979" s="408"/>
      <c r="U979" s="408">
        <v>15000</v>
      </c>
      <c r="V979" s="408"/>
      <c r="W979" s="408"/>
      <c r="X979" s="408"/>
      <c r="Y979" s="408"/>
      <c r="Z979" s="408"/>
      <c r="AA979" s="408">
        <f t="shared" si="111"/>
        <v>30000</v>
      </c>
    </row>
    <row r="980" spans="1:27" s="362" customFormat="1" ht="47.25">
      <c r="A980" s="569"/>
      <c r="B980" s="512"/>
      <c r="C980" s="325"/>
      <c r="D980" s="14" t="s">
        <v>1568</v>
      </c>
      <c r="E980" s="292"/>
      <c r="F980" s="143"/>
      <c r="G980" s="292"/>
      <c r="H980" s="428">
        <v>3132</v>
      </c>
      <c r="I980" s="307">
        <v>75000</v>
      </c>
      <c r="J980" s="307"/>
      <c r="K980" s="307"/>
      <c r="L980" s="76"/>
      <c r="M980" s="76">
        <v>75000</v>
      </c>
      <c r="N980" s="408"/>
      <c r="O980" s="408"/>
      <c r="P980" s="408"/>
      <c r="Q980" s="408"/>
      <c r="R980" s="408">
        <v>15000</v>
      </c>
      <c r="S980" s="408">
        <v>60000</v>
      </c>
      <c r="T980" s="408"/>
      <c r="U980" s="408"/>
      <c r="V980" s="408"/>
      <c r="W980" s="408"/>
      <c r="X980" s="408"/>
      <c r="Y980" s="408"/>
      <c r="Z980" s="408">
        <f>1681.8+2242.4</f>
        <v>3924.2</v>
      </c>
      <c r="AA980" s="408">
        <f t="shared" si="111"/>
        <v>71075.8</v>
      </c>
    </row>
    <row r="981" spans="1:27" s="362" customFormat="1" ht="31.5">
      <c r="A981" s="569"/>
      <c r="B981" s="512"/>
      <c r="C981" s="325"/>
      <c r="D981" s="14" t="s">
        <v>1569</v>
      </c>
      <c r="E981" s="292"/>
      <c r="F981" s="143"/>
      <c r="G981" s="292"/>
      <c r="H981" s="428">
        <v>3132</v>
      </c>
      <c r="I981" s="307">
        <v>70000</v>
      </c>
      <c r="J981" s="307"/>
      <c r="K981" s="307"/>
      <c r="L981" s="76"/>
      <c r="M981" s="76">
        <v>70000</v>
      </c>
      <c r="N981" s="408"/>
      <c r="O981" s="408"/>
      <c r="P981" s="408"/>
      <c r="Q981" s="408"/>
      <c r="R981" s="408">
        <v>15000</v>
      </c>
      <c r="S981" s="408">
        <v>55000</v>
      </c>
      <c r="T981" s="408"/>
      <c r="U981" s="408"/>
      <c r="V981" s="408"/>
      <c r="W981" s="408"/>
      <c r="X981" s="408"/>
      <c r="Y981" s="408"/>
      <c r="Z981" s="408">
        <f>1681.8+2242.4</f>
        <v>3924.2</v>
      </c>
      <c r="AA981" s="408">
        <f t="shared" si="111"/>
        <v>66075.8</v>
      </c>
    </row>
    <row r="982" spans="1:27" s="362" customFormat="1" ht="47.25">
      <c r="A982" s="569"/>
      <c r="B982" s="512"/>
      <c r="C982" s="325"/>
      <c r="D982" s="14" t="s">
        <v>1570</v>
      </c>
      <c r="E982" s="292"/>
      <c r="F982" s="143"/>
      <c r="G982" s="292"/>
      <c r="H982" s="428">
        <v>3132</v>
      </c>
      <c r="I982" s="307">
        <v>90000</v>
      </c>
      <c r="J982" s="307"/>
      <c r="K982" s="307"/>
      <c r="L982" s="76"/>
      <c r="M982" s="76">
        <v>90000</v>
      </c>
      <c r="N982" s="408"/>
      <c r="O982" s="408"/>
      <c r="P982" s="408"/>
      <c r="Q982" s="408"/>
      <c r="R982" s="408">
        <v>15000</v>
      </c>
      <c r="S982" s="408">
        <v>75000</v>
      </c>
      <c r="T982" s="408"/>
      <c r="U982" s="408"/>
      <c r="V982" s="408"/>
      <c r="W982" s="408"/>
      <c r="X982" s="408"/>
      <c r="Y982" s="408"/>
      <c r="Z982" s="408"/>
      <c r="AA982" s="408">
        <f t="shared" si="111"/>
        <v>90000</v>
      </c>
    </row>
    <row r="983" spans="1:27" s="362" customFormat="1" ht="47.25">
      <c r="A983" s="569"/>
      <c r="B983" s="512"/>
      <c r="C983" s="325"/>
      <c r="D983" s="14" t="s">
        <v>1571</v>
      </c>
      <c r="E983" s="292"/>
      <c r="F983" s="143"/>
      <c r="G983" s="292"/>
      <c r="H983" s="428">
        <v>3132</v>
      </c>
      <c r="I983" s="307">
        <v>225000</v>
      </c>
      <c r="J983" s="307"/>
      <c r="K983" s="307"/>
      <c r="L983" s="76"/>
      <c r="M983" s="76">
        <v>225000</v>
      </c>
      <c r="N983" s="408"/>
      <c r="O983" s="408"/>
      <c r="P983" s="408"/>
      <c r="Q983" s="408"/>
      <c r="R983" s="408">
        <v>15000</v>
      </c>
      <c r="S983" s="408">
        <v>210000</v>
      </c>
      <c r="T983" s="408"/>
      <c r="U983" s="408"/>
      <c r="V983" s="408"/>
      <c r="W983" s="408"/>
      <c r="X983" s="408"/>
      <c r="Y983" s="408"/>
      <c r="Z983" s="408">
        <f>1681.8+2242.4</f>
        <v>3924.2</v>
      </c>
      <c r="AA983" s="408">
        <f aca="true" t="shared" si="117" ref="AA983:AA1046">N983+O983+P983+Q983+R983+S983+T983+U983-Z983</f>
        <v>221075.8</v>
      </c>
    </row>
    <row r="984" spans="1:27" s="362" customFormat="1" ht="33.75" customHeight="1">
      <c r="A984" s="569"/>
      <c r="B984" s="512"/>
      <c r="C984" s="325"/>
      <c r="D984" s="14" t="s">
        <v>1572</v>
      </c>
      <c r="E984" s="292"/>
      <c r="F984" s="143"/>
      <c r="G984" s="292"/>
      <c r="H984" s="428">
        <v>3132</v>
      </c>
      <c r="I984" s="307">
        <v>75000</v>
      </c>
      <c r="J984" s="307"/>
      <c r="K984" s="307"/>
      <c r="L984" s="76"/>
      <c r="M984" s="76">
        <v>75000</v>
      </c>
      <c r="N984" s="408"/>
      <c r="O984" s="408"/>
      <c r="P984" s="408"/>
      <c r="Q984" s="408"/>
      <c r="R984" s="408"/>
      <c r="S984" s="408">
        <v>15000</v>
      </c>
      <c r="T984" s="408"/>
      <c r="U984" s="408">
        <v>60000</v>
      </c>
      <c r="V984" s="408"/>
      <c r="W984" s="408"/>
      <c r="X984" s="408"/>
      <c r="Y984" s="408"/>
      <c r="Z984" s="408"/>
      <c r="AA984" s="408">
        <f t="shared" si="117"/>
        <v>75000</v>
      </c>
    </row>
    <row r="985" spans="1:27" s="362" customFormat="1" ht="31.5">
      <c r="A985" s="569"/>
      <c r="B985" s="512"/>
      <c r="C985" s="325"/>
      <c r="D985" s="14" t="s">
        <v>1573</v>
      </c>
      <c r="E985" s="292"/>
      <c r="F985" s="143"/>
      <c r="G985" s="292"/>
      <c r="H985" s="428">
        <v>3132</v>
      </c>
      <c r="I985" s="307">
        <v>100000</v>
      </c>
      <c r="J985" s="307"/>
      <c r="K985" s="307"/>
      <c r="L985" s="76"/>
      <c r="M985" s="76">
        <v>100000</v>
      </c>
      <c r="N985" s="408"/>
      <c r="O985" s="408"/>
      <c r="P985" s="408"/>
      <c r="Q985" s="408"/>
      <c r="R985" s="408">
        <v>8000</v>
      </c>
      <c r="S985" s="408">
        <f>15000-8000</f>
        <v>7000</v>
      </c>
      <c r="T985" s="408"/>
      <c r="U985" s="408">
        <v>85000</v>
      </c>
      <c r="V985" s="408"/>
      <c r="W985" s="408"/>
      <c r="X985" s="408"/>
      <c r="Y985" s="408"/>
      <c r="Z985" s="408">
        <v>3924.2</v>
      </c>
      <c r="AA985" s="408">
        <f t="shared" si="117"/>
        <v>96075.8</v>
      </c>
    </row>
    <row r="986" spans="1:27" s="362" customFormat="1" ht="31.5">
      <c r="A986" s="569"/>
      <c r="B986" s="512"/>
      <c r="C986" s="325"/>
      <c r="D986" s="14" t="s">
        <v>380</v>
      </c>
      <c r="E986" s="292"/>
      <c r="F986" s="143"/>
      <c r="G986" s="292"/>
      <c r="H986" s="428">
        <v>3132</v>
      </c>
      <c r="I986" s="307">
        <v>30000</v>
      </c>
      <c r="J986" s="307"/>
      <c r="K986" s="307"/>
      <c r="L986" s="76"/>
      <c r="M986" s="76">
        <v>30000</v>
      </c>
      <c r="N986" s="408"/>
      <c r="O986" s="408"/>
      <c r="P986" s="408"/>
      <c r="Q986" s="408"/>
      <c r="R986" s="408"/>
      <c r="S986" s="408">
        <v>15000</v>
      </c>
      <c r="T986" s="408"/>
      <c r="U986" s="408">
        <v>15000</v>
      </c>
      <c r="V986" s="408"/>
      <c r="W986" s="408"/>
      <c r="X986" s="408"/>
      <c r="Y986" s="408"/>
      <c r="Z986" s="408"/>
      <c r="AA986" s="408">
        <f t="shared" si="117"/>
        <v>30000</v>
      </c>
    </row>
    <row r="987" spans="1:27" s="362" customFormat="1" ht="47.25">
      <c r="A987" s="569"/>
      <c r="B987" s="512"/>
      <c r="C987" s="325"/>
      <c r="D987" s="376" t="s">
        <v>381</v>
      </c>
      <c r="E987" s="292"/>
      <c r="F987" s="143"/>
      <c r="G987" s="292"/>
      <c r="H987" s="428">
        <v>3142</v>
      </c>
      <c r="I987" s="307">
        <v>129920</v>
      </c>
      <c r="J987" s="307"/>
      <c r="K987" s="307"/>
      <c r="L987" s="76"/>
      <c r="M987" s="76">
        <v>129920</v>
      </c>
      <c r="N987" s="408"/>
      <c r="O987" s="408"/>
      <c r="P987" s="408"/>
      <c r="Q987" s="408"/>
      <c r="R987" s="408"/>
      <c r="S987" s="408">
        <v>39000</v>
      </c>
      <c r="T987" s="408">
        <v>90920</v>
      </c>
      <c r="U987" s="408"/>
      <c r="V987" s="408"/>
      <c r="W987" s="408"/>
      <c r="X987" s="408"/>
      <c r="Y987" s="408"/>
      <c r="Z987" s="408"/>
      <c r="AA987" s="408">
        <f t="shared" si="117"/>
        <v>129920</v>
      </c>
    </row>
    <row r="988" spans="1:27" ht="47.25" hidden="1">
      <c r="A988" s="32">
        <v>250324</v>
      </c>
      <c r="B988" s="32" t="s">
        <v>1077</v>
      </c>
      <c r="C988" s="306"/>
      <c r="D988" s="14" t="s">
        <v>417</v>
      </c>
      <c r="E988" s="292"/>
      <c r="F988" s="143"/>
      <c r="G988" s="292"/>
      <c r="H988" s="428"/>
      <c r="I988" s="307" t="e">
        <f>J988+#REF!+K988+L988+M988+#REF!+#REF!</f>
        <v>#REF!</v>
      </c>
      <c r="J988" s="307"/>
      <c r="K988" s="307"/>
      <c r="L988" s="307"/>
      <c r="M988" s="307"/>
      <c r="N988" s="408"/>
      <c r="O988" s="408"/>
      <c r="P988" s="408"/>
      <c r="Q988" s="408"/>
      <c r="R988" s="408"/>
      <c r="S988" s="408"/>
      <c r="T988" s="408"/>
      <c r="U988" s="408"/>
      <c r="V988" s="408"/>
      <c r="W988" s="408"/>
      <c r="X988" s="408"/>
      <c r="Y988" s="408"/>
      <c r="Z988" s="408"/>
      <c r="AA988" s="408">
        <f t="shared" si="117"/>
        <v>0</v>
      </c>
    </row>
    <row r="989" spans="1:27" ht="110.25" hidden="1">
      <c r="A989" s="34">
        <v>250344</v>
      </c>
      <c r="B989" s="34" t="s">
        <v>1493</v>
      </c>
      <c r="C989" s="306"/>
      <c r="D989" s="14" t="s">
        <v>481</v>
      </c>
      <c r="E989" s="292"/>
      <c r="F989" s="143"/>
      <c r="G989" s="292"/>
      <c r="H989" s="428"/>
      <c r="I989" s="307" t="e">
        <f>J989+#REF!+K989+L989+M989+#REF!+#REF!</f>
        <v>#REF!</v>
      </c>
      <c r="J989" s="307"/>
      <c r="K989" s="307"/>
      <c r="L989" s="307"/>
      <c r="M989" s="307"/>
      <c r="N989" s="408"/>
      <c r="O989" s="408"/>
      <c r="P989" s="408"/>
      <c r="Q989" s="408"/>
      <c r="R989" s="408"/>
      <c r="S989" s="408"/>
      <c r="T989" s="408"/>
      <c r="U989" s="408"/>
      <c r="V989" s="408"/>
      <c r="W989" s="408"/>
      <c r="X989" s="408"/>
      <c r="Y989" s="408"/>
      <c r="Z989" s="408"/>
      <c r="AA989" s="408">
        <f t="shared" si="117"/>
        <v>0</v>
      </c>
    </row>
    <row r="990" spans="1:61" s="54" customFormat="1" ht="15.75">
      <c r="A990" s="568">
        <v>250404</v>
      </c>
      <c r="B990" s="568" t="s">
        <v>697</v>
      </c>
      <c r="C990" s="195"/>
      <c r="D990" s="216" t="s">
        <v>1597</v>
      </c>
      <c r="E990" s="158"/>
      <c r="F990" s="159"/>
      <c r="G990" s="158"/>
      <c r="H990" s="420"/>
      <c r="I990" s="139">
        <f aca="true" t="shared" si="118" ref="I990:Z990">I991+I1003+I1013+I1017</f>
        <v>5478088.53</v>
      </c>
      <c r="J990" s="139">
        <f t="shared" si="118"/>
        <v>0</v>
      </c>
      <c r="K990" s="139">
        <f t="shared" si="118"/>
        <v>0</v>
      </c>
      <c r="L990" s="139">
        <f t="shared" si="118"/>
        <v>3264178.53</v>
      </c>
      <c r="M990" s="139">
        <f t="shared" si="118"/>
        <v>2213910</v>
      </c>
      <c r="N990" s="139">
        <f t="shared" si="118"/>
        <v>0</v>
      </c>
      <c r="O990" s="139">
        <f t="shared" si="118"/>
        <v>704315.41</v>
      </c>
      <c r="P990" s="139">
        <f t="shared" si="118"/>
        <v>0</v>
      </c>
      <c r="Q990" s="139">
        <f t="shared" si="118"/>
        <v>779863.12</v>
      </c>
      <c r="R990" s="139">
        <f t="shared" si="118"/>
        <v>286000</v>
      </c>
      <c r="S990" s="139">
        <f t="shared" si="118"/>
        <v>597000</v>
      </c>
      <c r="T990" s="139">
        <f t="shared" si="118"/>
        <v>630800</v>
      </c>
      <c r="U990" s="139">
        <f t="shared" si="118"/>
        <v>975610</v>
      </c>
      <c r="V990" s="139">
        <f t="shared" si="118"/>
        <v>947350</v>
      </c>
      <c r="W990" s="139">
        <f t="shared" si="118"/>
        <v>477150</v>
      </c>
      <c r="X990" s="139">
        <f t="shared" si="118"/>
        <v>40000</v>
      </c>
      <c r="Y990" s="139">
        <f t="shared" si="118"/>
        <v>40000</v>
      </c>
      <c r="Z990" s="139">
        <f t="shared" si="118"/>
        <v>1002490.65</v>
      </c>
      <c r="AA990" s="408">
        <f t="shared" si="117"/>
        <v>2971097.88</v>
      </c>
      <c r="AB990" s="45"/>
      <c r="AC990" s="45"/>
      <c r="AD990" s="45"/>
      <c r="AE990" s="45"/>
      <c r="AF990" s="45"/>
      <c r="AG990" s="45"/>
      <c r="AH990" s="45"/>
      <c r="AI990" s="45"/>
      <c r="AJ990" s="45"/>
      <c r="AK990" s="45"/>
      <c r="AL990" s="45"/>
      <c r="AM990" s="45"/>
      <c r="AN990" s="45"/>
      <c r="AO990" s="45"/>
      <c r="AP990" s="45"/>
      <c r="AQ990" s="45"/>
      <c r="AR990" s="45"/>
      <c r="AS990" s="45"/>
      <c r="AT990" s="45"/>
      <c r="AU990" s="45"/>
      <c r="AV990" s="45"/>
      <c r="AW990" s="45"/>
      <c r="AX990" s="45"/>
      <c r="AY990" s="45"/>
      <c r="AZ990" s="45"/>
      <c r="BA990" s="45"/>
      <c r="BB990" s="45"/>
      <c r="BC990" s="45"/>
      <c r="BD990" s="45"/>
      <c r="BE990" s="45"/>
      <c r="BF990" s="45"/>
      <c r="BG990" s="45"/>
      <c r="BH990" s="45"/>
      <c r="BI990" s="45"/>
    </row>
    <row r="991" spans="1:61" s="54" customFormat="1" ht="31.5">
      <c r="A991" s="569"/>
      <c r="B991" s="569"/>
      <c r="C991" s="326"/>
      <c r="D991" s="327" t="s">
        <v>917</v>
      </c>
      <c r="E991" s="328"/>
      <c r="F991" s="329"/>
      <c r="G991" s="328"/>
      <c r="H991" s="431"/>
      <c r="I991" s="322">
        <f aca="true" t="shared" si="119" ref="I991:Z991">SUM(I992:I1002)</f>
        <v>2559301.16</v>
      </c>
      <c r="J991" s="322">
        <f t="shared" si="119"/>
        <v>0</v>
      </c>
      <c r="K991" s="322">
        <f t="shared" si="119"/>
        <v>0</v>
      </c>
      <c r="L991" s="322">
        <f t="shared" si="119"/>
        <v>365391.16</v>
      </c>
      <c r="M991" s="322">
        <f t="shared" si="119"/>
        <v>2193910</v>
      </c>
      <c r="N991" s="322">
        <f t="shared" si="119"/>
        <v>0</v>
      </c>
      <c r="O991" s="322">
        <f t="shared" si="119"/>
        <v>365391.16</v>
      </c>
      <c r="P991" s="322">
        <f t="shared" si="119"/>
        <v>0</v>
      </c>
      <c r="Q991" s="322">
        <f t="shared" si="119"/>
        <v>0</v>
      </c>
      <c r="R991" s="322">
        <f t="shared" si="119"/>
        <v>186000</v>
      </c>
      <c r="S991" s="322">
        <f t="shared" si="119"/>
        <v>557000</v>
      </c>
      <c r="T991" s="322">
        <f t="shared" si="119"/>
        <v>590800</v>
      </c>
      <c r="U991" s="322">
        <f t="shared" si="119"/>
        <v>235610</v>
      </c>
      <c r="V991" s="322">
        <f t="shared" si="119"/>
        <v>187350</v>
      </c>
      <c r="W991" s="322">
        <f t="shared" si="119"/>
        <v>437150</v>
      </c>
      <c r="X991" s="322">
        <f t="shared" si="119"/>
        <v>0</v>
      </c>
      <c r="Y991" s="322">
        <f t="shared" si="119"/>
        <v>0</v>
      </c>
      <c r="Z991" s="322">
        <f t="shared" si="119"/>
        <v>550746.38</v>
      </c>
      <c r="AA991" s="408">
        <f t="shared" si="117"/>
        <v>1384054.78</v>
      </c>
      <c r="AB991" s="45"/>
      <c r="AC991" s="45"/>
      <c r="AD991" s="45"/>
      <c r="AE991" s="45"/>
      <c r="AF991" s="45"/>
      <c r="AG991" s="45"/>
      <c r="AH991" s="45"/>
      <c r="AI991" s="45"/>
      <c r="AJ991" s="45"/>
      <c r="AK991" s="45"/>
      <c r="AL991" s="45"/>
      <c r="AM991" s="45"/>
      <c r="AN991" s="45"/>
      <c r="AO991" s="45"/>
      <c r="AP991" s="45"/>
      <c r="AQ991" s="45"/>
      <c r="AR991" s="45"/>
      <c r="AS991" s="45"/>
      <c r="AT991" s="45"/>
      <c r="AU991" s="45"/>
      <c r="AV991" s="45"/>
      <c r="AW991" s="45"/>
      <c r="AX991" s="45"/>
      <c r="AY991" s="45"/>
      <c r="AZ991" s="45"/>
      <c r="BA991" s="45"/>
      <c r="BB991" s="45"/>
      <c r="BC991" s="45"/>
      <c r="BD991" s="45"/>
      <c r="BE991" s="45"/>
      <c r="BF991" s="45"/>
      <c r="BG991" s="45"/>
      <c r="BH991" s="45"/>
      <c r="BI991" s="45"/>
    </row>
    <row r="992" spans="1:27" s="45" customFormat="1" ht="47.25">
      <c r="A992" s="569"/>
      <c r="B992" s="569"/>
      <c r="C992" s="218" t="s">
        <v>918</v>
      </c>
      <c r="D992" s="240" t="s">
        <v>919</v>
      </c>
      <c r="E992" s="142">
        <v>400</v>
      </c>
      <c r="F992" s="143">
        <f aca="true" t="shared" si="120" ref="F992:F997">100%-((E992-G992)/E992)</f>
        <v>1</v>
      </c>
      <c r="G992" s="142">
        <v>400</v>
      </c>
      <c r="H992" s="418">
        <v>3132</v>
      </c>
      <c r="I992" s="307">
        <v>1320</v>
      </c>
      <c r="J992" s="144"/>
      <c r="K992" s="144"/>
      <c r="L992" s="144">
        <v>1320</v>
      </c>
      <c r="M992" s="144"/>
      <c r="N992" s="408"/>
      <c r="O992" s="307">
        <v>1320</v>
      </c>
      <c r="P992" s="408"/>
      <c r="Q992" s="408"/>
      <c r="R992" s="408"/>
      <c r="S992" s="408"/>
      <c r="T992" s="408"/>
      <c r="U992" s="408"/>
      <c r="V992" s="408"/>
      <c r="W992" s="408"/>
      <c r="X992" s="408"/>
      <c r="Y992" s="408"/>
      <c r="Z992" s="307">
        <v>1320</v>
      </c>
      <c r="AA992" s="408">
        <f t="shared" si="117"/>
        <v>0</v>
      </c>
    </row>
    <row r="993" spans="1:27" ht="31.5">
      <c r="A993" s="569"/>
      <c r="B993" s="569"/>
      <c r="C993" s="218" t="s">
        <v>920</v>
      </c>
      <c r="D993" s="354" t="s">
        <v>122</v>
      </c>
      <c r="E993" s="142">
        <v>368.5</v>
      </c>
      <c r="F993" s="143">
        <f t="shared" si="120"/>
        <v>1</v>
      </c>
      <c r="G993" s="142">
        <v>368.5</v>
      </c>
      <c r="H993" s="418">
        <v>3132</v>
      </c>
      <c r="I993" s="307">
        <v>2501.12</v>
      </c>
      <c r="J993" s="144"/>
      <c r="K993" s="144"/>
      <c r="L993" s="144">
        <v>2501.12</v>
      </c>
      <c r="M993" s="144"/>
      <c r="N993" s="408"/>
      <c r="O993" s="307">
        <v>2501.12</v>
      </c>
      <c r="P993" s="408"/>
      <c r="Q993" s="408"/>
      <c r="R993" s="408"/>
      <c r="S993" s="408"/>
      <c r="T993" s="408"/>
      <c r="U993" s="408"/>
      <c r="V993" s="408"/>
      <c r="W993" s="408"/>
      <c r="X993" s="408"/>
      <c r="Y993" s="408"/>
      <c r="Z993" s="307">
        <v>2501.12</v>
      </c>
      <c r="AA993" s="408">
        <f t="shared" si="117"/>
        <v>0</v>
      </c>
    </row>
    <row r="994" spans="1:27" ht="31.5">
      <c r="A994" s="569"/>
      <c r="B994" s="569"/>
      <c r="C994" s="218" t="s">
        <v>123</v>
      </c>
      <c r="D994" s="75" t="s">
        <v>124</v>
      </c>
      <c r="E994" s="142">
        <v>465.2</v>
      </c>
      <c r="F994" s="143">
        <f t="shared" si="120"/>
        <v>1</v>
      </c>
      <c r="G994" s="142">
        <v>465.2</v>
      </c>
      <c r="H994" s="418">
        <v>3132</v>
      </c>
      <c r="I994" s="307">
        <v>6482.72</v>
      </c>
      <c r="J994" s="144"/>
      <c r="K994" s="144"/>
      <c r="L994" s="144">
        <v>6482.72</v>
      </c>
      <c r="M994" s="144"/>
      <c r="N994" s="408"/>
      <c r="O994" s="307">
        <v>6482.72</v>
      </c>
      <c r="P994" s="408"/>
      <c r="Q994" s="408"/>
      <c r="R994" s="408"/>
      <c r="S994" s="408"/>
      <c r="T994" s="408"/>
      <c r="U994" s="408"/>
      <c r="V994" s="408"/>
      <c r="W994" s="408"/>
      <c r="X994" s="408"/>
      <c r="Y994" s="408"/>
      <c r="Z994" s="307">
        <v>6482.72</v>
      </c>
      <c r="AA994" s="408">
        <f t="shared" si="117"/>
        <v>0</v>
      </c>
    </row>
    <row r="995" spans="1:27" ht="31.5">
      <c r="A995" s="569"/>
      <c r="B995" s="569"/>
      <c r="C995" s="218" t="s">
        <v>125</v>
      </c>
      <c r="D995" s="75" t="s">
        <v>1391</v>
      </c>
      <c r="E995" s="142">
        <v>854</v>
      </c>
      <c r="F995" s="143">
        <f t="shared" si="120"/>
        <v>1</v>
      </c>
      <c r="G995" s="142">
        <v>854</v>
      </c>
      <c r="H995" s="418">
        <v>3132</v>
      </c>
      <c r="I995" s="307">
        <v>239724.84</v>
      </c>
      <c r="J995" s="144"/>
      <c r="K995" s="144"/>
      <c r="L995" s="144">
        <v>239724.84</v>
      </c>
      <c r="M995" s="144"/>
      <c r="N995" s="408"/>
      <c r="O995" s="307">
        <v>239724.84</v>
      </c>
      <c r="P995" s="408"/>
      <c r="Q995" s="408"/>
      <c r="R995" s="408"/>
      <c r="S995" s="408"/>
      <c r="T995" s="408"/>
      <c r="U995" s="408"/>
      <c r="V995" s="408"/>
      <c r="W995" s="408"/>
      <c r="X995" s="408"/>
      <c r="Y995" s="408"/>
      <c r="Z995" s="307">
        <v>239724.84</v>
      </c>
      <c r="AA995" s="408">
        <f t="shared" si="117"/>
        <v>0</v>
      </c>
    </row>
    <row r="996" spans="1:27" ht="47.25">
      <c r="A996" s="569"/>
      <c r="B996" s="569"/>
      <c r="C996" s="218" t="s">
        <v>1392</v>
      </c>
      <c r="D996" s="75" t="s">
        <v>1393</v>
      </c>
      <c r="E996" s="142">
        <v>900</v>
      </c>
      <c r="F996" s="143">
        <f t="shared" si="120"/>
        <v>1</v>
      </c>
      <c r="G996" s="142">
        <v>900</v>
      </c>
      <c r="H996" s="418">
        <v>3132</v>
      </c>
      <c r="I996" s="307">
        <v>54973.68</v>
      </c>
      <c r="J996" s="144"/>
      <c r="K996" s="144"/>
      <c r="L996" s="144">
        <v>54973.68</v>
      </c>
      <c r="M996" s="144"/>
      <c r="N996" s="408"/>
      <c r="O996" s="307">
        <v>54973.68</v>
      </c>
      <c r="P996" s="408"/>
      <c r="Q996" s="408"/>
      <c r="R996" s="408"/>
      <c r="S996" s="408"/>
      <c r="T996" s="408"/>
      <c r="U996" s="408"/>
      <c r="V996" s="408"/>
      <c r="W996" s="408"/>
      <c r="X996" s="408"/>
      <c r="Y996" s="408"/>
      <c r="Z996" s="307">
        <v>54973.68</v>
      </c>
      <c r="AA996" s="408">
        <f t="shared" si="117"/>
        <v>0</v>
      </c>
    </row>
    <row r="997" spans="1:27" ht="47.25">
      <c r="A997" s="569"/>
      <c r="B997" s="569"/>
      <c r="C997" s="218" t="s">
        <v>1394</v>
      </c>
      <c r="D997" s="75" t="s">
        <v>1395</v>
      </c>
      <c r="E997" s="142">
        <v>70</v>
      </c>
      <c r="F997" s="143">
        <f t="shared" si="120"/>
        <v>1</v>
      </c>
      <c r="G997" s="142">
        <v>70</v>
      </c>
      <c r="H997" s="418">
        <v>3132</v>
      </c>
      <c r="I997" s="307">
        <v>60388.8</v>
      </c>
      <c r="J997" s="144"/>
      <c r="K997" s="144"/>
      <c r="L997" s="144">
        <v>60388.8</v>
      </c>
      <c r="M997" s="144"/>
      <c r="N997" s="408"/>
      <c r="O997" s="307">
        <v>60388.8</v>
      </c>
      <c r="P997" s="408"/>
      <c r="Q997" s="408"/>
      <c r="R997" s="408"/>
      <c r="S997" s="408"/>
      <c r="T997" s="408"/>
      <c r="U997" s="408"/>
      <c r="V997" s="408"/>
      <c r="W997" s="408"/>
      <c r="X997" s="408"/>
      <c r="Y997" s="408"/>
      <c r="Z997" s="307">
        <v>60388.8</v>
      </c>
      <c r="AA997" s="408">
        <f t="shared" si="117"/>
        <v>0</v>
      </c>
    </row>
    <row r="998" spans="1:27" s="362" customFormat="1" ht="31.5">
      <c r="A998" s="569"/>
      <c r="B998" s="569"/>
      <c r="C998" s="218"/>
      <c r="D998" s="1" t="s">
        <v>382</v>
      </c>
      <c r="E998" s="142"/>
      <c r="F998" s="143"/>
      <c r="G998" s="142"/>
      <c r="H998" s="418">
        <v>3132</v>
      </c>
      <c r="I998" s="307">
        <v>703610</v>
      </c>
      <c r="J998" s="144"/>
      <c r="K998" s="144"/>
      <c r="L998" s="76"/>
      <c r="M998" s="76">
        <v>703610</v>
      </c>
      <c r="N998" s="408"/>
      <c r="O998" s="408"/>
      <c r="P998" s="408"/>
      <c r="Q998" s="408"/>
      <c r="R998" s="408"/>
      <c r="S998" s="408">
        <v>234000</v>
      </c>
      <c r="T998" s="408">
        <v>234000</v>
      </c>
      <c r="U998" s="408">
        <v>235610</v>
      </c>
      <c r="V998" s="408"/>
      <c r="W998" s="408"/>
      <c r="X998" s="408"/>
      <c r="Y998" s="408"/>
      <c r="Z998" s="408"/>
      <c r="AA998" s="408">
        <f t="shared" si="117"/>
        <v>703610</v>
      </c>
    </row>
    <row r="999" spans="1:27" s="362" customFormat="1" ht="13.5" customHeight="1">
      <c r="A999" s="569"/>
      <c r="B999" s="569"/>
      <c r="C999" s="218"/>
      <c r="D999" s="1" t="s">
        <v>899</v>
      </c>
      <c r="E999" s="142"/>
      <c r="F999" s="143"/>
      <c r="G999" s="142"/>
      <c r="H999" s="418">
        <v>3132</v>
      </c>
      <c r="I999" s="307">
        <v>624500</v>
      </c>
      <c r="J999" s="144"/>
      <c r="K999" s="144"/>
      <c r="L999" s="76"/>
      <c r="M999" s="76">
        <v>624500</v>
      </c>
      <c r="N999" s="408"/>
      <c r="O999" s="408"/>
      <c r="P999" s="408"/>
      <c r="Q999" s="408"/>
      <c r="R999" s="408"/>
      <c r="S999" s="408"/>
      <c r="T999" s="408"/>
      <c r="U999" s="408"/>
      <c r="V999" s="408">
        <v>187350</v>
      </c>
      <c r="W999" s="408">
        <v>437150</v>
      </c>
      <c r="X999" s="408"/>
      <c r="Y999" s="408"/>
      <c r="Z999" s="408"/>
      <c r="AA999" s="408">
        <f t="shared" si="117"/>
        <v>0</v>
      </c>
    </row>
    <row r="1000" spans="1:27" s="362" customFormat="1" ht="35.25" customHeight="1">
      <c r="A1000" s="569"/>
      <c r="B1000" s="569"/>
      <c r="C1000" s="218"/>
      <c r="D1000" s="1" t="s">
        <v>383</v>
      </c>
      <c r="E1000" s="142"/>
      <c r="F1000" s="143"/>
      <c r="G1000" s="142"/>
      <c r="H1000" s="418">
        <v>3132</v>
      </c>
      <c r="I1000" s="307">
        <v>524800</v>
      </c>
      <c r="J1000" s="144"/>
      <c r="K1000" s="144"/>
      <c r="L1000" s="76"/>
      <c r="M1000" s="76">
        <v>524800</v>
      </c>
      <c r="N1000" s="408"/>
      <c r="O1000" s="408"/>
      <c r="P1000" s="408"/>
      <c r="Q1000" s="408"/>
      <c r="R1000" s="408">
        <v>15000</v>
      </c>
      <c r="S1000" s="408">
        <v>153000</v>
      </c>
      <c r="T1000" s="408">
        <v>356800</v>
      </c>
      <c r="U1000" s="408"/>
      <c r="V1000" s="408"/>
      <c r="W1000" s="408"/>
      <c r="X1000" s="408"/>
      <c r="Y1000" s="408"/>
      <c r="Z1000" s="408">
        <v>185355.22</v>
      </c>
      <c r="AA1000" s="408">
        <f t="shared" si="117"/>
        <v>339444.78</v>
      </c>
    </row>
    <row r="1001" spans="1:27" s="362" customFormat="1" ht="15.75">
      <c r="A1001" s="569"/>
      <c r="B1001" s="569"/>
      <c r="C1001" s="218"/>
      <c r="D1001" s="1" t="s">
        <v>384</v>
      </c>
      <c r="E1001" s="142"/>
      <c r="F1001" s="143"/>
      <c r="G1001" s="142"/>
      <c r="H1001" s="418">
        <v>3132</v>
      </c>
      <c r="I1001" s="307">
        <v>340000</v>
      </c>
      <c r="J1001" s="144"/>
      <c r="K1001" s="144"/>
      <c r="L1001" s="76"/>
      <c r="M1001" s="76">
        <v>340000</v>
      </c>
      <c r="N1001" s="408"/>
      <c r="O1001" s="408"/>
      <c r="P1001" s="408"/>
      <c r="Q1001" s="408"/>
      <c r="R1001" s="408">
        <v>170000</v>
      </c>
      <c r="S1001" s="408">
        <v>170000</v>
      </c>
      <c r="T1001" s="408"/>
      <c r="U1001" s="408"/>
      <c r="V1001" s="408"/>
      <c r="W1001" s="408"/>
      <c r="X1001" s="408"/>
      <c r="Y1001" s="408"/>
      <c r="Z1001" s="408"/>
      <c r="AA1001" s="408">
        <f t="shared" si="117"/>
        <v>340000</v>
      </c>
    </row>
    <row r="1002" spans="1:27" s="362" customFormat="1" ht="31.5">
      <c r="A1002" s="569"/>
      <c r="B1002" s="569"/>
      <c r="C1002" s="218"/>
      <c r="D1002" s="1" t="s">
        <v>1629</v>
      </c>
      <c r="E1002" s="142"/>
      <c r="F1002" s="143"/>
      <c r="G1002" s="142"/>
      <c r="H1002" s="418">
        <v>3132</v>
      </c>
      <c r="I1002" s="307">
        <v>1000</v>
      </c>
      <c r="J1002" s="144"/>
      <c r="K1002" s="144"/>
      <c r="L1002" s="76"/>
      <c r="M1002" s="76">
        <v>1000</v>
      </c>
      <c r="N1002" s="408"/>
      <c r="O1002" s="408"/>
      <c r="P1002" s="408"/>
      <c r="Q1002" s="408"/>
      <c r="R1002" s="408">
        <v>1000</v>
      </c>
      <c r="S1002" s="408"/>
      <c r="T1002" s="408"/>
      <c r="U1002" s="408"/>
      <c r="V1002" s="408"/>
      <c r="W1002" s="408"/>
      <c r="X1002" s="408"/>
      <c r="Y1002" s="408"/>
      <c r="Z1002" s="408"/>
      <c r="AA1002" s="408">
        <f t="shared" si="117"/>
        <v>1000</v>
      </c>
    </row>
    <row r="1003" spans="1:27" ht="31.5">
      <c r="A1003" s="569"/>
      <c r="B1003" s="569"/>
      <c r="C1003" s="218"/>
      <c r="D1003" s="225" t="s">
        <v>900</v>
      </c>
      <c r="E1003" s="142"/>
      <c r="F1003" s="143"/>
      <c r="G1003" s="142"/>
      <c r="H1003" s="418"/>
      <c r="I1003" s="169">
        <f>SUM(I1006:I1012)</f>
        <v>2514090</v>
      </c>
      <c r="J1003" s="169">
        <f aca="true" t="shared" si="121" ref="J1003:Z1003">SUM(J1004:J1012)</f>
        <v>0</v>
      </c>
      <c r="K1003" s="169">
        <f t="shared" si="121"/>
        <v>0</v>
      </c>
      <c r="L1003" s="169">
        <f t="shared" si="121"/>
        <v>2514090</v>
      </c>
      <c r="M1003" s="169">
        <f t="shared" si="121"/>
        <v>0</v>
      </c>
      <c r="N1003" s="169">
        <f t="shared" si="121"/>
        <v>0</v>
      </c>
      <c r="O1003" s="169">
        <f t="shared" si="121"/>
        <v>334226.88</v>
      </c>
      <c r="P1003" s="169">
        <f t="shared" si="121"/>
        <v>0</v>
      </c>
      <c r="Q1003" s="169">
        <f t="shared" si="121"/>
        <v>779863.12</v>
      </c>
      <c r="R1003" s="169">
        <f t="shared" si="121"/>
        <v>0</v>
      </c>
      <c r="S1003" s="169">
        <f t="shared" si="121"/>
        <v>0</v>
      </c>
      <c r="T1003" s="169">
        <f t="shared" si="121"/>
        <v>0</v>
      </c>
      <c r="U1003" s="169">
        <f>SUM(U1004:U1012)</f>
        <v>700000</v>
      </c>
      <c r="V1003" s="169">
        <f>SUM(V1004:V1012)</f>
        <v>700000</v>
      </c>
      <c r="W1003" s="169">
        <f t="shared" si="121"/>
        <v>0</v>
      </c>
      <c r="X1003" s="169">
        <f t="shared" si="121"/>
        <v>0</v>
      </c>
      <c r="Y1003" s="169">
        <f t="shared" si="121"/>
        <v>0</v>
      </c>
      <c r="Z1003" s="169">
        <f t="shared" si="121"/>
        <v>334226.88</v>
      </c>
      <c r="AA1003" s="408">
        <f t="shared" si="117"/>
        <v>1479863.12</v>
      </c>
    </row>
    <row r="1004" spans="1:27" ht="15.75" hidden="1">
      <c r="A1004" s="569"/>
      <c r="B1004" s="569"/>
      <c r="C1004" s="218" t="s">
        <v>901</v>
      </c>
      <c r="D1004" s="217" t="s">
        <v>902</v>
      </c>
      <c r="E1004" s="142"/>
      <c r="F1004" s="143"/>
      <c r="G1004" s="142"/>
      <c r="H1004" s="418"/>
      <c r="I1004" s="307" t="e">
        <f>J1004+K1004+L1004+M1004+#REF!+#REF!</f>
        <v>#REF!</v>
      </c>
      <c r="J1004" s="144"/>
      <c r="K1004" s="144"/>
      <c r="L1004" s="144"/>
      <c r="M1004" s="169"/>
      <c r="N1004" s="408"/>
      <c r="O1004" s="408"/>
      <c r="P1004" s="408"/>
      <c r="Q1004" s="408"/>
      <c r="R1004" s="408"/>
      <c r="S1004" s="408"/>
      <c r="T1004" s="408"/>
      <c r="U1004" s="408"/>
      <c r="V1004" s="408"/>
      <c r="W1004" s="408"/>
      <c r="X1004" s="408"/>
      <c r="Y1004" s="408"/>
      <c r="Z1004" s="408"/>
      <c r="AA1004" s="408">
        <f t="shared" si="117"/>
        <v>0</v>
      </c>
    </row>
    <row r="1005" spans="1:27" ht="31.5" hidden="1">
      <c r="A1005" s="569"/>
      <c r="B1005" s="569"/>
      <c r="C1005" s="218"/>
      <c r="D1005" s="217" t="s">
        <v>903</v>
      </c>
      <c r="E1005" s="142"/>
      <c r="F1005" s="143"/>
      <c r="G1005" s="142"/>
      <c r="H1005" s="418"/>
      <c r="I1005" s="307" t="e">
        <f>J1005+K1005+L1005+M1005+#REF!+#REF!</f>
        <v>#REF!</v>
      </c>
      <c r="J1005" s="144"/>
      <c r="K1005" s="144"/>
      <c r="L1005" s="144"/>
      <c r="M1005" s="169"/>
      <c r="N1005" s="408"/>
      <c r="O1005" s="408"/>
      <c r="P1005" s="408"/>
      <c r="Q1005" s="408"/>
      <c r="R1005" s="408"/>
      <c r="S1005" s="408"/>
      <c r="T1005" s="408"/>
      <c r="U1005" s="408"/>
      <c r="V1005" s="408"/>
      <c r="W1005" s="408"/>
      <c r="X1005" s="408"/>
      <c r="Y1005" s="408"/>
      <c r="Z1005" s="408"/>
      <c r="AA1005" s="408">
        <f t="shared" si="117"/>
        <v>0</v>
      </c>
    </row>
    <row r="1006" spans="1:27" ht="31.5">
      <c r="A1006" s="569"/>
      <c r="B1006" s="569"/>
      <c r="C1006" s="218" t="s">
        <v>904</v>
      </c>
      <c r="D1006" s="240" t="s">
        <v>905</v>
      </c>
      <c r="E1006" s="142"/>
      <c r="F1006" s="143"/>
      <c r="G1006" s="142"/>
      <c r="H1006" s="418">
        <v>2281</v>
      </c>
      <c r="I1006" s="307">
        <v>334226.88</v>
      </c>
      <c r="J1006" s="144"/>
      <c r="K1006" s="144"/>
      <c r="L1006" s="144">
        <v>334226.88</v>
      </c>
      <c r="M1006" s="169"/>
      <c r="N1006" s="408"/>
      <c r="O1006" s="307">
        <v>334226.88</v>
      </c>
      <c r="P1006" s="408"/>
      <c r="Q1006" s="408"/>
      <c r="R1006" s="408"/>
      <c r="S1006" s="408"/>
      <c r="T1006" s="408"/>
      <c r="U1006" s="408"/>
      <c r="V1006" s="408"/>
      <c r="W1006" s="408"/>
      <c r="X1006" s="408"/>
      <c r="Y1006" s="408"/>
      <c r="Z1006" s="307">
        <v>334226.88</v>
      </c>
      <c r="AA1006" s="408">
        <f t="shared" si="117"/>
        <v>0</v>
      </c>
    </row>
    <row r="1007" spans="1:27" ht="31.5" hidden="1">
      <c r="A1007" s="569"/>
      <c r="B1007" s="569"/>
      <c r="C1007" s="218" t="s">
        <v>906</v>
      </c>
      <c r="D1007" s="240" t="s">
        <v>907</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7"/>
        <v>0</v>
      </c>
    </row>
    <row r="1008" spans="1:27" ht="47.25" hidden="1">
      <c r="A1008" s="569"/>
      <c r="B1008" s="569"/>
      <c r="C1008" s="218" t="s">
        <v>1292</v>
      </c>
      <c r="D1008" s="240" t="s">
        <v>639</v>
      </c>
      <c r="E1008" s="142"/>
      <c r="F1008" s="143"/>
      <c r="G1008" s="142"/>
      <c r="H1008" s="418">
        <v>2281</v>
      </c>
      <c r="I1008" s="307">
        <v>0</v>
      </c>
      <c r="J1008" s="144"/>
      <c r="K1008" s="144"/>
      <c r="L1008" s="144"/>
      <c r="M1008" s="169"/>
      <c r="N1008" s="408"/>
      <c r="O1008" s="408"/>
      <c r="P1008" s="408"/>
      <c r="Q1008" s="408"/>
      <c r="R1008" s="408"/>
      <c r="S1008" s="408"/>
      <c r="T1008" s="408"/>
      <c r="U1008" s="408"/>
      <c r="V1008" s="408"/>
      <c r="W1008" s="408"/>
      <c r="X1008" s="408"/>
      <c r="Y1008" s="408"/>
      <c r="Z1008" s="408"/>
      <c r="AA1008" s="408">
        <f t="shared" si="117"/>
        <v>0</v>
      </c>
    </row>
    <row r="1009" spans="1:27" ht="31.5" hidden="1">
      <c r="A1009" s="569"/>
      <c r="B1009" s="569"/>
      <c r="C1009" s="218" t="s">
        <v>640</v>
      </c>
      <c r="D1009" s="240" t="s">
        <v>641</v>
      </c>
      <c r="E1009" s="142"/>
      <c r="F1009" s="143"/>
      <c r="G1009" s="142"/>
      <c r="H1009" s="418">
        <v>2281</v>
      </c>
      <c r="I1009" s="307">
        <v>0</v>
      </c>
      <c r="J1009" s="144"/>
      <c r="K1009" s="144"/>
      <c r="L1009" s="144"/>
      <c r="M1009" s="169"/>
      <c r="N1009" s="408"/>
      <c r="O1009" s="408"/>
      <c r="P1009" s="408"/>
      <c r="Q1009" s="408"/>
      <c r="R1009" s="408"/>
      <c r="S1009" s="408"/>
      <c r="T1009" s="408"/>
      <c r="U1009" s="408"/>
      <c r="V1009" s="408"/>
      <c r="W1009" s="408"/>
      <c r="X1009" s="408"/>
      <c r="Y1009" s="408"/>
      <c r="Z1009" s="408"/>
      <c r="AA1009" s="408">
        <f t="shared" si="117"/>
        <v>0</v>
      </c>
    </row>
    <row r="1010" spans="1:27" ht="15.75" hidden="1">
      <c r="A1010" s="569"/>
      <c r="B1010" s="569"/>
      <c r="C1010" s="218" t="s">
        <v>642</v>
      </c>
      <c r="D1010" s="240" t="s">
        <v>643</v>
      </c>
      <c r="E1010" s="142"/>
      <c r="F1010" s="143"/>
      <c r="G1010" s="142"/>
      <c r="H1010" s="418">
        <v>2281</v>
      </c>
      <c r="I1010" s="307">
        <v>0</v>
      </c>
      <c r="J1010" s="144"/>
      <c r="K1010" s="144"/>
      <c r="L1010" s="144"/>
      <c r="M1010" s="169"/>
      <c r="N1010" s="408"/>
      <c r="O1010" s="408"/>
      <c r="P1010" s="408"/>
      <c r="Q1010" s="408"/>
      <c r="R1010" s="408"/>
      <c r="S1010" s="408"/>
      <c r="T1010" s="408"/>
      <c r="U1010" s="408"/>
      <c r="V1010" s="408"/>
      <c r="W1010" s="408"/>
      <c r="X1010" s="408"/>
      <c r="Y1010" s="408"/>
      <c r="Z1010" s="408"/>
      <c r="AA1010" s="408">
        <f t="shared" si="117"/>
        <v>0</v>
      </c>
    </row>
    <row r="1011" spans="1:27" ht="15.75">
      <c r="A1011" s="569"/>
      <c r="B1011" s="569"/>
      <c r="C1011" s="218"/>
      <c r="D1011" s="75" t="s">
        <v>834</v>
      </c>
      <c r="E1011" s="142"/>
      <c r="F1011" s="143"/>
      <c r="G1011" s="142"/>
      <c r="H1011" s="418">
        <v>2281</v>
      </c>
      <c r="I1011" s="307">
        <v>779863.12</v>
      </c>
      <c r="J1011" s="144"/>
      <c r="K1011" s="144"/>
      <c r="L1011" s="471">
        <v>779863.12</v>
      </c>
      <c r="M1011" s="169"/>
      <c r="N1011" s="408"/>
      <c r="O1011" s="408"/>
      <c r="P1011" s="408"/>
      <c r="Q1011" s="408">
        <v>779863.12</v>
      </c>
      <c r="R1011" s="408"/>
      <c r="S1011" s="408"/>
      <c r="T1011" s="408"/>
      <c r="U1011" s="408"/>
      <c r="V1011" s="408"/>
      <c r="W1011" s="408"/>
      <c r="X1011" s="408"/>
      <c r="Y1011" s="408"/>
      <c r="Z1011" s="408"/>
      <c r="AA1011" s="408">
        <f t="shared" si="117"/>
        <v>779863.12</v>
      </c>
    </row>
    <row r="1012" spans="1:27" ht="15.75">
      <c r="A1012" s="569"/>
      <c r="B1012" s="569"/>
      <c r="C1012" s="218"/>
      <c r="D1012" s="75" t="s">
        <v>835</v>
      </c>
      <c r="E1012" s="142"/>
      <c r="F1012" s="143"/>
      <c r="G1012" s="142"/>
      <c r="H1012" s="418">
        <v>2281</v>
      </c>
      <c r="I1012" s="307">
        <v>1400000</v>
      </c>
      <c r="J1012" s="144"/>
      <c r="K1012" s="144"/>
      <c r="L1012" s="471">
        <v>1400000</v>
      </c>
      <c r="M1012" s="169"/>
      <c r="N1012" s="408"/>
      <c r="O1012" s="408"/>
      <c r="P1012" s="408"/>
      <c r="Q1012" s="408"/>
      <c r="R1012" s="408"/>
      <c r="S1012" s="408"/>
      <c r="T1012" s="408"/>
      <c r="U1012" s="408">
        <v>700000</v>
      </c>
      <c r="V1012" s="408">
        <v>700000</v>
      </c>
      <c r="W1012" s="408"/>
      <c r="X1012" s="408"/>
      <c r="Y1012" s="408"/>
      <c r="Z1012" s="408"/>
      <c r="AA1012" s="408">
        <f t="shared" si="117"/>
        <v>700000</v>
      </c>
    </row>
    <row r="1013" spans="1:27" s="30" customFormat="1" ht="31.5">
      <c r="A1013" s="569"/>
      <c r="B1013" s="569"/>
      <c r="C1013" s="573"/>
      <c r="D1013" s="225" t="s">
        <v>630</v>
      </c>
      <c r="E1013" s="331"/>
      <c r="F1013" s="332"/>
      <c r="G1013" s="331"/>
      <c r="H1013" s="418"/>
      <c r="I1013" s="322">
        <f aca="true" t="shared" si="122" ref="I1013:Z1013">SUM(I1014:I1016)</f>
        <v>384697.37</v>
      </c>
      <c r="J1013" s="322">
        <f t="shared" si="122"/>
        <v>0</v>
      </c>
      <c r="K1013" s="322">
        <f t="shared" si="122"/>
        <v>0</v>
      </c>
      <c r="L1013" s="322">
        <f t="shared" si="122"/>
        <v>384697.37</v>
      </c>
      <c r="M1013" s="322">
        <f t="shared" si="122"/>
        <v>0</v>
      </c>
      <c r="N1013" s="322">
        <f t="shared" si="122"/>
        <v>0</v>
      </c>
      <c r="O1013" s="322">
        <f t="shared" si="122"/>
        <v>4697.37</v>
      </c>
      <c r="P1013" s="322">
        <f t="shared" si="122"/>
        <v>0</v>
      </c>
      <c r="Q1013" s="322">
        <f t="shared" si="122"/>
        <v>0</v>
      </c>
      <c r="R1013" s="322">
        <f t="shared" si="122"/>
        <v>100000</v>
      </c>
      <c r="S1013" s="322">
        <f t="shared" si="122"/>
        <v>40000</v>
      </c>
      <c r="T1013" s="322">
        <f t="shared" si="122"/>
        <v>40000</v>
      </c>
      <c r="U1013" s="322">
        <f t="shared" si="122"/>
        <v>40000</v>
      </c>
      <c r="V1013" s="322">
        <f t="shared" si="122"/>
        <v>40000</v>
      </c>
      <c r="W1013" s="322">
        <f t="shared" si="122"/>
        <v>40000</v>
      </c>
      <c r="X1013" s="322">
        <f t="shared" si="122"/>
        <v>40000</v>
      </c>
      <c r="Y1013" s="322">
        <f t="shared" si="122"/>
        <v>40000</v>
      </c>
      <c r="Z1013" s="322">
        <f t="shared" si="122"/>
        <v>117517.39</v>
      </c>
      <c r="AA1013" s="408">
        <f t="shared" si="117"/>
        <v>107179.98</v>
      </c>
    </row>
    <row r="1014" spans="1:27" ht="63">
      <c r="A1014" s="569"/>
      <c r="B1014" s="569"/>
      <c r="C1014" s="574"/>
      <c r="D1014" s="353" t="s">
        <v>1067</v>
      </c>
      <c r="E1014" s="292"/>
      <c r="F1014" s="335"/>
      <c r="G1014" s="292"/>
      <c r="H1014" s="418">
        <v>2281</v>
      </c>
      <c r="I1014" s="307">
        <v>4697.37</v>
      </c>
      <c r="J1014" s="307"/>
      <c r="K1014" s="307"/>
      <c r="L1014" s="307">
        <v>4697.37</v>
      </c>
      <c r="M1014" s="307"/>
      <c r="N1014" s="408"/>
      <c r="O1014" s="307">
        <v>4697.37</v>
      </c>
      <c r="P1014" s="408"/>
      <c r="Q1014" s="408"/>
      <c r="R1014" s="408"/>
      <c r="S1014" s="408"/>
      <c r="T1014" s="408"/>
      <c r="U1014" s="408"/>
      <c r="V1014" s="408"/>
      <c r="W1014" s="408"/>
      <c r="X1014" s="408"/>
      <c r="Y1014" s="408"/>
      <c r="Z1014" s="307">
        <v>4697.37</v>
      </c>
      <c r="AA1014" s="408">
        <f t="shared" si="117"/>
        <v>0</v>
      </c>
    </row>
    <row r="1015" spans="1:27" ht="47.25">
      <c r="A1015" s="569"/>
      <c r="B1015" s="569"/>
      <c r="C1015" s="575"/>
      <c r="D1015" s="376" t="s">
        <v>1630</v>
      </c>
      <c r="E1015" s="292"/>
      <c r="F1015" s="335"/>
      <c r="G1015" s="292"/>
      <c r="H1015" s="418">
        <v>2281</v>
      </c>
      <c r="I1015" s="307">
        <v>80000</v>
      </c>
      <c r="J1015" s="307"/>
      <c r="K1015" s="307"/>
      <c r="L1015" s="377">
        <v>80000</v>
      </c>
      <c r="M1015" s="307"/>
      <c r="N1015" s="408"/>
      <c r="O1015" s="408"/>
      <c r="P1015" s="408"/>
      <c r="Q1015" s="408"/>
      <c r="R1015" s="408">
        <v>10000</v>
      </c>
      <c r="S1015" s="408">
        <v>10000</v>
      </c>
      <c r="T1015" s="408">
        <v>10000</v>
      </c>
      <c r="U1015" s="408">
        <v>10000</v>
      </c>
      <c r="V1015" s="408">
        <v>10000</v>
      </c>
      <c r="W1015" s="408">
        <v>10000</v>
      </c>
      <c r="X1015" s="408">
        <v>10000</v>
      </c>
      <c r="Y1015" s="408">
        <v>10000</v>
      </c>
      <c r="Z1015" s="408">
        <f>2541.01+5480+1943.78+3400-4230</f>
        <v>9134.79</v>
      </c>
      <c r="AA1015" s="408">
        <f t="shared" si="117"/>
        <v>30865.21</v>
      </c>
    </row>
    <row r="1016" spans="1:27" ht="31.5">
      <c r="A1016" s="569"/>
      <c r="B1016" s="569"/>
      <c r="C1016" s="333" t="s">
        <v>1515</v>
      </c>
      <c r="D1016" s="376" t="s">
        <v>1631</v>
      </c>
      <c r="E1016" s="292"/>
      <c r="F1016" s="335"/>
      <c r="G1016" s="292"/>
      <c r="H1016" s="418">
        <v>2281</v>
      </c>
      <c r="I1016" s="307">
        <v>300000</v>
      </c>
      <c r="J1016" s="307"/>
      <c r="K1016" s="307"/>
      <c r="L1016" s="377">
        <v>300000</v>
      </c>
      <c r="M1016" s="307"/>
      <c r="N1016" s="408"/>
      <c r="O1016" s="408"/>
      <c r="P1016" s="408"/>
      <c r="Q1016" s="408"/>
      <c r="R1016" s="408">
        <v>90000</v>
      </c>
      <c r="S1016" s="408">
        <v>30000</v>
      </c>
      <c r="T1016" s="408">
        <v>30000</v>
      </c>
      <c r="U1016" s="408">
        <v>30000</v>
      </c>
      <c r="V1016" s="408">
        <v>30000</v>
      </c>
      <c r="W1016" s="408">
        <v>30000</v>
      </c>
      <c r="X1016" s="408">
        <v>30000</v>
      </c>
      <c r="Y1016" s="408">
        <v>30000</v>
      </c>
      <c r="Z1016" s="408">
        <f>78472.18+20983.05+4230</f>
        <v>103685.23</v>
      </c>
      <c r="AA1016" s="408">
        <f t="shared" si="117"/>
        <v>76314.77</v>
      </c>
    </row>
    <row r="1017" spans="1:27" s="30" customFormat="1" ht="31.5">
      <c r="A1017" s="569"/>
      <c r="B1017" s="569"/>
      <c r="C1017" s="306"/>
      <c r="D1017" s="225" t="s">
        <v>275</v>
      </c>
      <c r="E1017" s="331"/>
      <c r="F1017" s="332"/>
      <c r="G1017" s="331"/>
      <c r="H1017" s="432"/>
      <c r="I1017" s="322">
        <f>SUM(I1018:I1018)</f>
        <v>20000</v>
      </c>
      <c r="J1017" s="322">
        <f>SUM(J1018:J1018)</f>
        <v>0</v>
      </c>
      <c r="K1017" s="322">
        <f>SUM(K1018:K1018)</f>
        <v>0</v>
      </c>
      <c r="L1017" s="322">
        <f>SUM(L1018:L1018)</f>
        <v>0</v>
      </c>
      <c r="M1017" s="322">
        <f>SUM(M1018:M1018)</f>
        <v>20000</v>
      </c>
      <c r="N1017" s="322">
        <f aca="true" t="shared" si="123" ref="N1017:Z1017">SUM(N1018:N1018)</f>
        <v>0</v>
      </c>
      <c r="O1017" s="322">
        <f t="shared" si="123"/>
        <v>0</v>
      </c>
      <c r="P1017" s="322">
        <f t="shared" si="123"/>
        <v>0</v>
      </c>
      <c r="Q1017" s="322">
        <f t="shared" si="123"/>
        <v>0</v>
      </c>
      <c r="R1017" s="322">
        <f t="shared" si="123"/>
        <v>0</v>
      </c>
      <c r="S1017" s="322">
        <f t="shared" si="123"/>
        <v>0</v>
      </c>
      <c r="T1017" s="322">
        <f t="shared" si="123"/>
        <v>0</v>
      </c>
      <c r="U1017" s="322">
        <f t="shared" si="123"/>
        <v>0</v>
      </c>
      <c r="V1017" s="322">
        <f t="shared" si="123"/>
        <v>20000</v>
      </c>
      <c r="W1017" s="322">
        <f t="shared" si="123"/>
        <v>0</v>
      </c>
      <c r="X1017" s="322">
        <f t="shared" si="123"/>
        <v>0</v>
      </c>
      <c r="Y1017" s="322">
        <f t="shared" si="123"/>
        <v>0</v>
      </c>
      <c r="Z1017" s="322">
        <f t="shared" si="123"/>
        <v>0</v>
      </c>
      <c r="AA1017" s="408">
        <f t="shared" si="117"/>
        <v>0</v>
      </c>
    </row>
    <row r="1018" spans="1:27" s="30" customFormat="1" ht="31.5" customHeight="1">
      <c r="A1018" s="569"/>
      <c r="B1018" s="569"/>
      <c r="C1018" s="306" t="s">
        <v>276</v>
      </c>
      <c r="D1018" s="217" t="s">
        <v>1632</v>
      </c>
      <c r="E1018" s="292"/>
      <c r="F1018" s="335"/>
      <c r="G1018" s="292"/>
      <c r="H1018" s="428">
        <v>3110</v>
      </c>
      <c r="I1018" s="307">
        <v>20000</v>
      </c>
      <c r="J1018" s="307"/>
      <c r="K1018" s="307"/>
      <c r="L1018" s="307"/>
      <c r="M1018" s="307">
        <v>20000</v>
      </c>
      <c r="N1018" s="440"/>
      <c r="O1018" s="440"/>
      <c r="P1018" s="440"/>
      <c r="Q1018" s="440"/>
      <c r="R1018" s="440"/>
      <c r="S1018" s="440"/>
      <c r="T1018" s="440"/>
      <c r="U1018" s="440"/>
      <c r="V1018" s="440">
        <v>20000</v>
      </c>
      <c r="W1018" s="440"/>
      <c r="X1018" s="440"/>
      <c r="Y1018" s="440"/>
      <c r="Z1018" s="440"/>
      <c r="AA1018" s="408">
        <f t="shared" si="117"/>
        <v>0</v>
      </c>
    </row>
    <row r="1019" spans="1:27" ht="15.75">
      <c r="A1019" s="289"/>
      <c r="B1019" s="289"/>
      <c r="C1019" s="306"/>
      <c r="D1019" s="271"/>
      <c r="E1019" s="292"/>
      <c r="F1019" s="335"/>
      <c r="G1019" s="292"/>
      <c r="H1019" s="428"/>
      <c r="I1019" s="307"/>
      <c r="J1019" s="307"/>
      <c r="K1019" s="307"/>
      <c r="L1019" s="307"/>
      <c r="M1019" s="307"/>
      <c r="N1019" s="408"/>
      <c r="O1019" s="408"/>
      <c r="P1019" s="408"/>
      <c r="Q1019" s="408"/>
      <c r="R1019" s="408"/>
      <c r="S1019" s="408"/>
      <c r="T1019" s="408"/>
      <c r="U1019" s="408"/>
      <c r="V1019" s="408"/>
      <c r="W1019" s="408"/>
      <c r="X1019" s="408"/>
      <c r="Y1019" s="408"/>
      <c r="Z1019" s="408"/>
      <c r="AA1019" s="408">
        <f t="shared" si="117"/>
        <v>0</v>
      </c>
    </row>
    <row r="1020" spans="1:61" ht="15.75" customHeight="1">
      <c r="A1020" s="233" t="s">
        <v>732</v>
      </c>
      <c r="B1020" s="545" t="s">
        <v>1366</v>
      </c>
      <c r="C1020" s="545"/>
      <c r="D1020" s="545"/>
      <c r="E1020" s="193"/>
      <c r="F1020" s="194"/>
      <c r="G1020" s="193"/>
      <c r="H1020" s="426"/>
      <c r="I1020" s="132">
        <f aca="true" t="shared" si="124" ref="I1020:Z1020">I1021+I1024</f>
        <v>6200000</v>
      </c>
      <c r="J1020" s="132">
        <f t="shared" si="124"/>
        <v>0</v>
      </c>
      <c r="K1020" s="132">
        <f t="shared" si="124"/>
        <v>0</v>
      </c>
      <c r="L1020" s="132">
        <f t="shared" si="124"/>
        <v>6200000</v>
      </c>
      <c r="M1020" s="132">
        <f t="shared" si="124"/>
        <v>0</v>
      </c>
      <c r="N1020" s="132">
        <f t="shared" si="124"/>
        <v>0</v>
      </c>
      <c r="O1020" s="132">
        <f t="shared" si="124"/>
        <v>0</v>
      </c>
      <c r="P1020" s="132">
        <f t="shared" si="124"/>
        <v>0</v>
      </c>
      <c r="Q1020" s="132">
        <f t="shared" si="124"/>
        <v>5000000</v>
      </c>
      <c r="R1020" s="132">
        <f t="shared" si="124"/>
        <v>500000</v>
      </c>
      <c r="S1020" s="132">
        <f t="shared" si="124"/>
        <v>700000</v>
      </c>
      <c r="T1020" s="132">
        <f t="shared" si="124"/>
        <v>0</v>
      </c>
      <c r="U1020" s="132">
        <f t="shared" si="124"/>
        <v>236000</v>
      </c>
      <c r="V1020" s="132">
        <f t="shared" si="124"/>
        <v>164000</v>
      </c>
      <c r="W1020" s="132">
        <f t="shared" si="124"/>
        <v>0</v>
      </c>
      <c r="X1020" s="132">
        <f t="shared" si="124"/>
        <v>0</v>
      </c>
      <c r="Y1020" s="132">
        <f t="shared" si="124"/>
        <v>0</v>
      </c>
      <c r="Z1020" s="132">
        <f t="shared" si="124"/>
        <v>6000000</v>
      </c>
      <c r="AA1020" s="408">
        <f t="shared" si="117"/>
        <v>436000</v>
      </c>
      <c r="AB1020" s="23"/>
      <c r="AC1020" s="23"/>
      <c r="AD1020" s="23"/>
      <c r="AE1020" s="23"/>
      <c r="AF1020" s="23"/>
      <c r="AG1020" s="23"/>
      <c r="AH1020" s="23"/>
      <c r="AI1020" s="23"/>
      <c r="AJ1020" s="23"/>
      <c r="AK1020" s="23"/>
      <c r="AL1020" s="23"/>
      <c r="AM1020" s="23"/>
      <c r="AN1020" s="23"/>
      <c r="AO1020" s="23"/>
      <c r="AP1020" s="23"/>
      <c r="AQ1020" s="23"/>
      <c r="AR1020" s="23"/>
      <c r="AS1020" s="23"/>
      <c r="AT1020" s="23"/>
      <c r="AU1020" s="23"/>
      <c r="AV1020" s="23"/>
      <c r="AW1020" s="23"/>
      <c r="AX1020" s="23"/>
      <c r="AY1020" s="23"/>
      <c r="AZ1020" s="23"/>
      <c r="BA1020" s="23"/>
      <c r="BB1020" s="23"/>
      <c r="BC1020" s="23"/>
      <c r="BD1020" s="23"/>
      <c r="BE1020" s="23"/>
      <c r="BF1020" s="23"/>
      <c r="BG1020" s="23"/>
      <c r="BH1020" s="23"/>
      <c r="BI1020" s="23"/>
    </row>
    <row r="1021" spans="1:27" ht="15.75">
      <c r="A1021" s="556" t="s">
        <v>130</v>
      </c>
      <c r="B1021" s="538" t="s">
        <v>1077</v>
      </c>
      <c r="C1021" s="337"/>
      <c r="D1021" s="136" t="s">
        <v>1597</v>
      </c>
      <c r="E1021" s="158"/>
      <c r="F1021" s="159"/>
      <c r="G1021" s="158"/>
      <c r="H1021" s="420"/>
      <c r="I1021" s="139">
        <f>SUM(I1022:I1023)</f>
        <v>6000000</v>
      </c>
      <c r="J1021" s="139">
        <f aca="true" t="shared" si="125" ref="J1021:Z1021">SUM(J1022:J1023)</f>
        <v>0</v>
      </c>
      <c r="K1021" s="139">
        <f t="shared" si="125"/>
        <v>0</v>
      </c>
      <c r="L1021" s="139">
        <f t="shared" si="125"/>
        <v>6000000</v>
      </c>
      <c r="M1021" s="139">
        <f t="shared" si="125"/>
        <v>0</v>
      </c>
      <c r="N1021" s="139">
        <f t="shared" si="125"/>
        <v>0</v>
      </c>
      <c r="O1021" s="139">
        <f t="shared" si="125"/>
        <v>0</v>
      </c>
      <c r="P1021" s="139">
        <f t="shared" si="125"/>
        <v>0</v>
      </c>
      <c r="Q1021" s="139">
        <f t="shared" si="125"/>
        <v>5000000</v>
      </c>
      <c r="R1021" s="139">
        <f t="shared" si="125"/>
        <v>500000</v>
      </c>
      <c r="S1021" s="139">
        <f t="shared" si="125"/>
        <v>500000</v>
      </c>
      <c r="T1021" s="139">
        <f t="shared" si="125"/>
        <v>0</v>
      </c>
      <c r="U1021" s="139">
        <f t="shared" si="125"/>
        <v>236000</v>
      </c>
      <c r="V1021" s="139">
        <f t="shared" si="125"/>
        <v>164000</v>
      </c>
      <c r="W1021" s="139">
        <f t="shared" si="125"/>
        <v>0</v>
      </c>
      <c r="X1021" s="139">
        <f t="shared" si="125"/>
        <v>0</v>
      </c>
      <c r="Y1021" s="139">
        <f t="shared" si="125"/>
        <v>0</v>
      </c>
      <c r="Z1021" s="139">
        <f t="shared" si="125"/>
        <v>6000000</v>
      </c>
      <c r="AA1021" s="408">
        <f t="shared" si="117"/>
        <v>236000</v>
      </c>
    </row>
    <row r="1022" spans="1:27" s="40" customFormat="1" ht="31.5">
      <c r="A1022" s="557"/>
      <c r="B1022" s="512"/>
      <c r="C1022" s="338"/>
      <c r="D1022" s="141" t="s">
        <v>113</v>
      </c>
      <c r="E1022" s="142"/>
      <c r="F1022" s="143"/>
      <c r="G1022" s="142"/>
      <c r="H1022" s="418">
        <v>3220</v>
      </c>
      <c r="I1022" s="144">
        <v>4500000</v>
      </c>
      <c r="J1022" s="144"/>
      <c r="K1022" s="144"/>
      <c r="L1022" s="472">
        <v>4500000</v>
      </c>
      <c r="M1022" s="144"/>
      <c r="N1022" s="408"/>
      <c r="O1022" s="408"/>
      <c r="P1022" s="408"/>
      <c r="Q1022" s="408">
        <v>4500000</v>
      </c>
      <c r="R1022" s="408"/>
      <c r="S1022" s="408"/>
      <c r="T1022" s="408"/>
      <c r="U1022" s="408">
        <v>236000</v>
      </c>
      <c r="V1022" s="408">
        <v>164000</v>
      </c>
      <c r="W1022" s="408"/>
      <c r="X1022" s="408"/>
      <c r="Y1022" s="408"/>
      <c r="Z1022" s="408">
        <v>4500000</v>
      </c>
      <c r="AA1022" s="408">
        <f t="shared" si="117"/>
        <v>236000</v>
      </c>
    </row>
    <row r="1023" spans="1:27" ht="49.5" customHeight="1">
      <c r="A1023" s="560"/>
      <c r="B1023" s="516"/>
      <c r="C1023" s="337"/>
      <c r="D1023" s="141" t="s">
        <v>227</v>
      </c>
      <c r="E1023" s="142"/>
      <c r="F1023" s="143"/>
      <c r="G1023" s="142"/>
      <c r="H1023" s="418">
        <v>3220</v>
      </c>
      <c r="I1023" s="307">
        <v>1500000</v>
      </c>
      <c r="J1023" s="169"/>
      <c r="K1023" s="169"/>
      <c r="L1023" s="472">
        <v>1500000</v>
      </c>
      <c r="M1023" s="144"/>
      <c r="N1023" s="408"/>
      <c r="O1023" s="408"/>
      <c r="P1023" s="408"/>
      <c r="Q1023" s="408">
        <v>500000</v>
      </c>
      <c r="R1023" s="408">
        <v>500000</v>
      </c>
      <c r="S1023" s="408">
        <v>500000</v>
      </c>
      <c r="T1023" s="408"/>
      <c r="U1023" s="408"/>
      <c r="V1023" s="408"/>
      <c r="W1023" s="408"/>
      <c r="X1023" s="408"/>
      <c r="Y1023" s="408"/>
      <c r="Z1023" s="408">
        <f>1000000+500000</f>
        <v>1500000</v>
      </c>
      <c r="AA1023" s="408">
        <f t="shared" si="117"/>
        <v>0</v>
      </c>
    </row>
    <row r="1024" spans="1:27" s="30" customFormat="1" ht="110.25">
      <c r="A1024" s="258" t="s">
        <v>1431</v>
      </c>
      <c r="B1024" s="166" t="s">
        <v>696</v>
      </c>
      <c r="C1024" s="337"/>
      <c r="D1024" s="141" t="s">
        <v>1302</v>
      </c>
      <c r="E1024" s="142"/>
      <c r="F1024" s="143"/>
      <c r="G1024" s="142"/>
      <c r="H1024" s="418">
        <v>3220</v>
      </c>
      <c r="I1024" s="307">
        <v>200000</v>
      </c>
      <c r="J1024" s="169"/>
      <c r="K1024" s="169"/>
      <c r="L1024" s="476">
        <v>200000</v>
      </c>
      <c r="M1024" s="169"/>
      <c r="N1024" s="440"/>
      <c r="O1024" s="440"/>
      <c r="P1024" s="440"/>
      <c r="Q1024" s="440"/>
      <c r="R1024" s="440"/>
      <c r="S1024" s="440">
        <v>200000</v>
      </c>
      <c r="T1024" s="440"/>
      <c r="U1024" s="440"/>
      <c r="V1024" s="440"/>
      <c r="W1024" s="440"/>
      <c r="X1024" s="440"/>
      <c r="Y1024" s="440"/>
      <c r="Z1024" s="440"/>
      <c r="AA1024" s="408">
        <f t="shared" si="117"/>
        <v>200000</v>
      </c>
    </row>
    <row r="1025" spans="1:27" ht="12" customHeight="1">
      <c r="A1025" s="289"/>
      <c r="B1025" s="337"/>
      <c r="C1025" s="266"/>
      <c r="D1025" s="269"/>
      <c r="E1025" s="292"/>
      <c r="F1025" s="335"/>
      <c r="G1025" s="292"/>
      <c r="H1025" s="428"/>
      <c r="I1025" s="307"/>
      <c r="J1025" s="307"/>
      <c r="K1025" s="307"/>
      <c r="L1025" s="307"/>
      <c r="M1025" s="307"/>
      <c r="N1025" s="408"/>
      <c r="O1025" s="408"/>
      <c r="P1025" s="408"/>
      <c r="Q1025" s="408"/>
      <c r="R1025" s="408"/>
      <c r="S1025" s="408"/>
      <c r="T1025" s="408"/>
      <c r="U1025" s="408"/>
      <c r="V1025" s="408"/>
      <c r="W1025" s="408"/>
      <c r="X1025" s="408"/>
      <c r="Y1025" s="408"/>
      <c r="Z1025" s="408"/>
      <c r="AA1025" s="408">
        <f t="shared" si="117"/>
        <v>0</v>
      </c>
    </row>
    <row r="1026" spans="1:27" ht="15.75">
      <c r="A1026" s="297">
        <v>73</v>
      </c>
      <c r="B1026" s="545" t="s">
        <v>652</v>
      </c>
      <c r="C1026" s="545"/>
      <c r="D1026" s="545"/>
      <c r="E1026" s="340"/>
      <c r="F1026" s="341"/>
      <c r="G1026" s="340"/>
      <c r="H1026" s="433"/>
      <c r="I1026" s="299">
        <f>I1043+I1049</f>
        <v>3702000</v>
      </c>
      <c r="J1026" s="299">
        <f>J1027+J1043+J1046+J1049</f>
        <v>0</v>
      </c>
      <c r="K1026" s="299">
        <f>K1027+K1043+K1046+K1049</f>
        <v>0</v>
      </c>
      <c r="L1026" s="299">
        <f>L1027+L1043+L1046+L1049</f>
        <v>0</v>
      </c>
      <c r="M1026" s="299">
        <f>M1027+M1043+M1046+M1049</f>
        <v>3702000</v>
      </c>
      <c r="N1026" s="299">
        <f aca="true" t="shared" si="126" ref="N1026:Z1026">N1027+N1043+N1046+N1049</f>
        <v>0</v>
      </c>
      <c r="O1026" s="299">
        <f t="shared" si="126"/>
        <v>0</v>
      </c>
      <c r="P1026" s="299">
        <f t="shared" si="126"/>
        <v>0</v>
      </c>
      <c r="Q1026" s="299">
        <f t="shared" si="126"/>
        <v>0</v>
      </c>
      <c r="R1026" s="299">
        <f t="shared" si="126"/>
        <v>0</v>
      </c>
      <c r="S1026" s="299">
        <f t="shared" si="126"/>
        <v>0</v>
      </c>
      <c r="T1026" s="299">
        <f t="shared" si="126"/>
        <v>0</v>
      </c>
      <c r="U1026" s="299">
        <f t="shared" si="126"/>
        <v>292000</v>
      </c>
      <c r="V1026" s="299">
        <f t="shared" si="126"/>
        <v>350000</v>
      </c>
      <c r="W1026" s="299">
        <f t="shared" si="126"/>
        <v>330000</v>
      </c>
      <c r="X1026" s="299">
        <f t="shared" si="126"/>
        <v>0</v>
      </c>
      <c r="Y1026" s="299">
        <f t="shared" si="126"/>
        <v>2730000</v>
      </c>
      <c r="Z1026" s="299">
        <f t="shared" si="126"/>
        <v>0</v>
      </c>
      <c r="AA1026" s="408">
        <f t="shared" si="117"/>
        <v>292000</v>
      </c>
    </row>
    <row r="1027" spans="1:27" ht="19.5" customHeight="1" hidden="1">
      <c r="A1027" s="535" t="s">
        <v>1154</v>
      </c>
      <c r="B1027" s="538" t="s">
        <v>1599</v>
      </c>
      <c r="C1027" s="195"/>
      <c r="D1027" s="136" t="s">
        <v>1597</v>
      </c>
      <c r="E1027" s="137"/>
      <c r="F1027" s="138"/>
      <c r="G1027" s="137"/>
      <c r="H1027" s="417"/>
      <c r="I1027" s="139" t="e">
        <f>J1027+K1027+L1027+M1027+#REF!+#REF!</f>
        <v>#REF!</v>
      </c>
      <c r="J1027" s="139">
        <f>SUM(J1028:J1042)</f>
        <v>0</v>
      </c>
      <c r="K1027" s="139">
        <f>SUM(K1028:K1042)</f>
        <v>0</v>
      </c>
      <c r="L1027" s="139">
        <f>SUM(L1028:L1042)</f>
        <v>0</v>
      </c>
      <c r="M1027" s="139">
        <f>SUM(M1028:M1042)</f>
        <v>0</v>
      </c>
      <c r="N1027" s="408"/>
      <c r="O1027" s="408"/>
      <c r="P1027" s="408"/>
      <c r="Q1027" s="408"/>
      <c r="R1027" s="408"/>
      <c r="S1027" s="408"/>
      <c r="T1027" s="408"/>
      <c r="U1027" s="408"/>
      <c r="V1027" s="408"/>
      <c r="W1027" s="408"/>
      <c r="X1027" s="408"/>
      <c r="Y1027" s="408"/>
      <c r="Z1027" s="408"/>
      <c r="AA1027" s="408">
        <f t="shared" si="117"/>
        <v>0</v>
      </c>
    </row>
    <row r="1028" spans="1:27" ht="15.75" hidden="1">
      <c r="A1028" s="536"/>
      <c r="B1028" s="512"/>
      <c r="C1028" s="135" t="s">
        <v>653</v>
      </c>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7"/>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7"/>
        <v>0</v>
      </c>
    </row>
    <row r="1030" spans="1:27" ht="15.75" hidden="1">
      <c r="A1030" s="536"/>
      <c r="B1030" s="512"/>
      <c r="C1030" s="135"/>
      <c r="D1030" s="141"/>
      <c r="E1030" s="172"/>
      <c r="F1030" s="229"/>
      <c r="G1030" s="172"/>
      <c r="H1030" s="421"/>
      <c r="I1030" s="144" t="e">
        <f>J1030+K1030+L1030+M1030+#REF!+#REF!</f>
        <v>#REF!</v>
      </c>
      <c r="J1030" s="144"/>
      <c r="K1030" s="144"/>
      <c r="L1030" s="144"/>
      <c r="M1030" s="144"/>
      <c r="N1030" s="408"/>
      <c r="O1030" s="408"/>
      <c r="P1030" s="408"/>
      <c r="Q1030" s="408"/>
      <c r="R1030" s="408"/>
      <c r="S1030" s="408"/>
      <c r="T1030" s="408"/>
      <c r="U1030" s="408"/>
      <c r="V1030" s="408"/>
      <c r="W1030" s="408"/>
      <c r="X1030" s="408"/>
      <c r="Y1030" s="408"/>
      <c r="Z1030" s="408"/>
      <c r="AA1030" s="408">
        <f t="shared" si="117"/>
        <v>0</v>
      </c>
    </row>
    <row r="1031" spans="1:27" ht="15.75" hidden="1">
      <c r="A1031" s="536"/>
      <c r="B1031" s="512"/>
      <c r="C1031" s="135"/>
      <c r="D1031" s="141"/>
      <c r="E1031" s="172"/>
      <c r="F1031" s="229"/>
      <c r="G1031" s="172"/>
      <c r="H1031" s="421"/>
      <c r="I1031" s="144" t="e">
        <f>J1031+K1031+L1031+M1031+#REF!+#REF!</f>
        <v>#REF!</v>
      </c>
      <c r="J1031" s="144"/>
      <c r="K1031" s="144"/>
      <c r="L1031" s="144"/>
      <c r="M1031" s="144"/>
      <c r="N1031" s="408"/>
      <c r="O1031" s="408"/>
      <c r="P1031" s="408"/>
      <c r="Q1031" s="408"/>
      <c r="R1031" s="408"/>
      <c r="S1031" s="408"/>
      <c r="T1031" s="408"/>
      <c r="U1031" s="408"/>
      <c r="V1031" s="408"/>
      <c r="W1031" s="408"/>
      <c r="X1031" s="408"/>
      <c r="Y1031" s="408"/>
      <c r="Z1031" s="408"/>
      <c r="AA1031" s="408">
        <f t="shared" si="117"/>
        <v>0</v>
      </c>
    </row>
    <row r="1032" spans="1:27" ht="15.75" hidden="1">
      <c r="A1032" s="536"/>
      <c r="B1032" s="512"/>
      <c r="C1032" s="135"/>
      <c r="D1032" s="141"/>
      <c r="E1032" s="172"/>
      <c r="F1032" s="229"/>
      <c r="G1032" s="172"/>
      <c r="H1032" s="421"/>
      <c r="I1032" s="144" t="e">
        <f>J1032+K1032+L1032+M1032+#REF!+#REF!</f>
        <v>#REF!</v>
      </c>
      <c r="J1032" s="144"/>
      <c r="K1032" s="144"/>
      <c r="L1032" s="144"/>
      <c r="M1032" s="144"/>
      <c r="N1032" s="408"/>
      <c r="O1032" s="408"/>
      <c r="P1032" s="408"/>
      <c r="Q1032" s="408"/>
      <c r="R1032" s="408"/>
      <c r="S1032" s="408"/>
      <c r="T1032" s="408"/>
      <c r="U1032" s="408"/>
      <c r="V1032" s="408"/>
      <c r="W1032" s="408"/>
      <c r="X1032" s="408"/>
      <c r="Y1032" s="408"/>
      <c r="Z1032" s="408"/>
      <c r="AA1032" s="408">
        <f t="shared" si="117"/>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7"/>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7"/>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7"/>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7"/>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7"/>
        <v>0</v>
      </c>
    </row>
    <row r="1038" spans="1:27" ht="15.75" hidden="1">
      <c r="A1038" s="536"/>
      <c r="B1038" s="512"/>
      <c r="C1038" s="135"/>
      <c r="D1038" s="141"/>
      <c r="E1038" s="172"/>
      <c r="F1038" s="229"/>
      <c r="G1038" s="172"/>
      <c r="H1038" s="421"/>
      <c r="I1038" s="144"/>
      <c r="J1038" s="144"/>
      <c r="K1038" s="144"/>
      <c r="L1038" s="144"/>
      <c r="M1038" s="144"/>
      <c r="N1038" s="408"/>
      <c r="O1038" s="408"/>
      <c r="P1038" s="408"/>
      <c r="Q1038" s="408"/>
      <c r="R1038" s="408"/>
      <c r="S1038" s="408"/>
      <c r="T1038" s="408"/>
      <c r="U1038" s="408"/>
      <c r="V1038" s="408"/>
      <c r="W1038" s="408"/>
      <c r="X1038" s="408"/>
      <c r="Y1038" s="408"/>
      <c r="Z1038" s="408"/>
      <c r="AA1038" s="408">
        <f t="shared" si="117"/>
        <v>0</v>
      </c>
    </row>
    <row r="1039" spans="1:27" ht="15.75" hidden="1">
      <c r="A1039" s="536"/>
      <c r="B1039" s="512"/>
      <c r="C1039" s="135"/>
      <c r="D1039" s="141"/>
      <c r="E1039" s="172"/>
      <c r="F1039" s="229"/>
      <c r="G1039" s="172"/>
      <c r="H1039" s="421"/>
      <c r="I1039" s="144"/>
      <c r="J1039" s="144"/>
      <c r="K1039" s="144"/>
      <c r="L1039" s="144"/>
      <c r="M1039" s="144"/>
      <c r="N1039" s="408"/>
      <c r="O1039" s="408"/>
      <c r="P1039" s="408"/>
      <c r="Q1039" s="408"/>
      <c r="R1039" s="408"/>
      <c r="S1039" s="408"/>
      <c r="T1039" s="408"/>
      <c r="U1039" s="408"/>
      <c r="V1039" s="408"/>
      <c r="W1039" s="408"/>
      <c r="X1039" s="408"/>
      <c r="Y1039" s="408"/>
      <c r="Z1039" s="408"/>
      <c r="AA1039" s="408">
        <f t="shared" si="117"/>
        <v>0</v>
      </c>
    </row>
    <row r="1040" spans="1:27" ht="15.75" hidden="1">
      <c r="A1040" s="536"/>
      <c r="B1040" s="512"/>
      <c r="C1040" s="135"/>
      <c r="D1040" s="141"/>
      <c r="E1040" s="172"/>
      <c r="F1040" s="229"/>
      <c r="G1040" s="172"/>
      <c r="H1040" s="421"/>
      <c r="I1040" s="144"/>
      <c r="J1040" s="144"/>
      <c r="K1040" s="144"/>
      <c r="L1040" s="144"/>
      <c r="M1040" s="144"/>
      <c r="N1040" s="408"/>
      <c r="O1040" s="408"/>
      <c r="P1040" s="408"/>
      <c r="Q1040" s="408"/>
      <c r="R1040" s="408"/>
      <c r="S1040" s="408"/>
      <c r="T1040" s="408"/>
      <c r="U1040" s="408"/>
      <c r="V1040" s="408"/>
      <c r="W1040" s="408"/>
      <c r="X1040" s="408"/>
      <c r="Y1040" s="408"/>
      <c r="Z1040" s="408"/>
      <c r="AA1040" s="408">
        <f t="shared" si="117"/>
        <v>0</v>
      </c>
    </row>
    <row r="1041" spans="1:27" ht="15.75" hidden="1">
      <c r="A1041" s="536"/>
      <c r="B1041" s="512"/>
      <c r="C1041" s="135" t="s">
        <v>1470</v>
      </c>
      <c r="D1041" s="141"/>
      <c r="E1041" s="172"/>
      <c r="F1041" s="229"/>
      <c r="G1041" s="172"/>
      <c r="H1041" s="421"/>
      <c r="I1041" s="144" t="e">
        <f>J1041+K1041+L1041+M1041+#REF!+#REF!</f>
        <v>#REF!</v>
      </c>
      <c r="J1041" s="144"/>
      <c r="K1041" s="144"/>
      <c r="L1041" s="144"/>
      <c r="M1041" s="144"/>
      <c r="N1041" s="408"/>
      <c r="O1041" s="408"/>
      <c r="P1041" s="408"/>
      <c r="Q1041" s="408"/>
      <c r="R1041" s="408"/>
      <c r="S1041" s="408"/>
      <c r="T1041" s="408"/>
      <c r="U1041" s="408"/>
      <c r="V1041" s="408"/>
      <c r="W1041" s="408"/>
      <c r="X1041" s="408"/>
      <c r="Y1041" s="408"/>
      <c r="Z1041" s="408"/>
      <c r="AA1041" s="408">
        <f t="shared" si="117"/>
        <v>0</v>
      </c>
    </row>
    <row r="1042" spans="1:27" ht="15.75" hidden="1">
      <c r="A1042" s="515"/>
      <c r="B1042" s="516"/>
      <c r="C1042" s="135" t="s">
        <v>370</v>
      </c>
      <c r="D1042" s="141"/>
      <c r="E1042" s="172"/>
      <c r="F1042" s="229"/>
      <c r="G1042" s="172"/>
      <c r="H1042" s="421"/>
      <c r="I1042" s="144" t="e">
        <f>J1042+K1042+L1042+M1042+#REF!+#REF!</f>
        <v>#REF!</v>
      </c>
      <c r="J1042" s="144"/>
      <c r="K1042" s="144"/>
      <c r="L1042" s="144"/>
      <c r="M1042" s="144"/>
      <c r="N1042" s="408"/>
      <c r="O1042" s="408"/>
      <c r="P1042" s="408"/>
      <c r="Q1042" s="408"/>
      <c r="R1042" s="408"/>
      <c r="S1042" s="408"/>
      <c r="T1042" s="408"/>
      <c r="U1042" s="408"/>
      <c r="V1042" s="408"/>
      <c r="W1042" s="408"/>
      <c r="X1042" s="408"/>
      <c r="Y1042" s="408"/>
      <c r="Z1042" s="408"/>
      <c r="AA1042" s="408">
        <f t="shared" si="117"/>
        <v>0</v>
      </c>
    </row>
    <row r="1043" spans="1:27" s="30" customFormat="1" ht="15.75">
      <c r="A1043" s="568">
        <v>150118</v>
      </c>
      <c r="B1043" s="538" t="s">
        <v>1430</v>
      </c>
      <c r="C1043" s="195"/>
      <c r="D1043" s="136" t="s">
        <v>1597</v>
      </c>
      <c r="E1043" s="137"/>
      <c r="F1043" s="138"/>
      <c r="G1043" s="137"/>
      <c r="H1043" s="417"/>
      <c r="I1043" s="139">
        <f>SUM(I1044:I1045)</f>
        <v>3060000</v>
      </c>
      <c r="J1043" s="139">
        <f>SUM(J1044:J1045)</f>
        <v>0</v>
      </c>
      <c r="K1043" s="139">
        <f>SUM(K1044:K1045)</f>
        <v>0</v>
      </c>
      <c r="L1043" s="139">
        <f>SUM(L1044:L1045)</f>
        <v>0</v>
      </c>
      <c r="M1043" s="139">
        <f>SUM(M1044:M1045)</f>
        <v>3060000</v>
      </c>
      <c r="N1043" s="139">
        <f aca="true" t="shared" si="127" ref="N1043:Z1043">SUM(N1044:N1045)</f>
        <v>0</v>
      </c>
      <c r="O1043" s="139">
        <f t="shared" si="127"/>
        <v>0</v>
      </c>
      <c r="P1043" s="139">
        <f t="shared" si="127"/>
        <v>0</v>
      </c>
      <c r="Q1043" s="139">
        <f t="shared" si="127"/>
        <v>0</v>
      </c>
      <c r="R1043" s="139">
        <f t="shared" si="127"/>
        <v>0</v>
      </c>
      <c r="S1043" s="139">
        <f t="shared" si="127"/>
        <v>0</v>
      </c>
      <c r="T1043" s="139">
        <f t="shared" si="127"/>
        <v>0</v>
      </c>
      <c r="U1043" s="139">
        <f t="shared" si="127"/>
        <v>0</v>
      </c>
      <c r="V1043" s="139">
        <f t="shared" si="127"/>
        <v>0</v>
      </c>
      <c r="W1043" s="139">
        <f t="shared" si="127"/>
        <v>330000</v>
      </c>
      <c r="X1043" s="139">
        <f t="shared" si="127"/>
        <v>0</v>
      </c>
      <c r="Y1043" s="139">
        <f t="shared" si="127"/>
        <v>2730000</v>
      </c>
      <c r="Z1043" s="139">
        <f t="shared" si="127"/>
        <v>0</v>
      </c>
      <c r="AA1043" s="408">
        <f t="shared" si="117"/>
        <v>0</v>
      </c>
    </row>
    <row r="1044" spans="1:27" s="369" customFormat="1" ht="15.75">
      <c r="A1044" s="569"/>
      <c r="B1044" s="512"/>
      <c r="C1044" s="135"/>
      <c r="D1044" s="13" t="s">
        <v>1633</v>
      </c>
      <c r="E1044" s="172"/>
      <c r="F1044" s="229"/>
      <c r="G1044" s="172"/>
      <c r="H1044" s="418">
        <v>3240</v>
      </c>
      <c r="I1044" s="144">
        <v>330000</v>
      </c>
      <c r="J1044" s="169"/>
      <c r="K1044" s="169"/>
      <c r="L1044" s="49"/>
      <c r="M1044" s="49">
        <v>330000</v>
      </c>
      <c r="N1044" s="440"/>
      <c r="O1044" s="440"/>
      <c r="P1044" s="440"/>
      <c r="Q1044" s="440"/>
      <c r="R1044" s="440"/>
      <c r="S1044" s="440"/>
      <c r="T1044" s="440"/>
      <c r="U1044" s="440"/>
      <c r="V1044" s="440"/>
      <c r="W1044" s="440">
        <v>330000</v>
      </c>
      <c r="X1044" s="440"/>
      <c r="Y1044" s="440"/>
      <c r="Z1044" s="440"/>
      <c r="AA1044" s="408">
        <f t="shared" si="117"/>
        <v>0</v>
      </c>
    </row>
    <row r="1045" spans="1:27" s="369" customFormat="1" ht="47.25">
      <c r="A1045" s="569"/>
      <c r="B1045" s="512"/>
      <c r="C1045" s="135"/>
      <c r="D1045" s="14" t="s">
        <v>1653</v>
      </c>
      <c r="E1045" s="172"/>
      <c r="F1045" s="229"/>
      <c r="G1045" s="172"/>
      <c r="H1045" s="418">
        <v>3240</v>
      </c>
      <c r="I1045" s="144">
        <v>2730000</v>
      </c>
      <c r="J1045" s="169"/>
      <c r="K1045" s="169"/>
      <c r="L1045" s="49"/>
      <c r="M1045" s="49">
        <v>2730000</v>
      </c>
      <c r="N1045" s="440"/>
      <c r="O1045" s="440"/>
      <c r="P1045" s="440"/>
      <c r="Q1045" s="440"/>
      <c r="R1045" s="440"/>
      <c r="S1045" s="440"/>
      <c r="T1045" s="440"/>
      <c r="U1045" s="440"/>
      <c r="V1045" s="440"/>
      <c r="W1045" s="440"/>
      <c r="X1045" s="440"/>
      <c r="Y1045" s="440">
        <v>2730000</v>
      </c>
      <c r="Z1045" s="440"/>
      <c r="AA1045" s="408">
        <f t="shared" si="117"/>
        <v>0</v>
      </c>
    </row>
    <row r="1046" spans="1:27" s="30" customFormat="1" ht="15.75" customHeight="1" hidden="1">
      <c r="A1046" s="535" t="s">
        <v>1365</v>
      </c>
      <c r="B1046" s="538" t="s">
        <v>1367</v>
      </c>
      <c r="C1046" s="195"/>
      <c r="D1046" s="216"/>
      <c r="E1046" s="137"/>
      <c r="F1046" s="138"/>
      <c r="G1046" s="137"/>
      <c r="H1046" s="417"/>
      <c r="I1046" s="139" t="e">
        <f>J1046+K1046+L1046+M1046+#REF!+#REF!</f>
        <v>#REF!</v>
      </c>
      <c r="J1046" s="139">
        <f>J1047</f>
        <v>0</v>
      </c>
      <c r="K1046" s="139">
        <f>K1047</f>
        <v>0</v>
      </c>
      <c r="L1046" s="139">
        <f>SUM(L1047:L1048)</f>
        <v>0</v>
      </c>
      <c r="M1046" s="139">
        <f>M1047</f>
        <v>0</v>
      </c>
      <c r="N1046" s="440"/>
      <c r="O1046" s="440"/>
      <c r="P1046" s="440"/>
      <c r="Q1046" s="440"/>
      <c r="R1046" s="440"/>
      <c r="S1046" s="440"/>
      <c r="T1046" s="440"/>
      <c r="U1046" s="440"/>
      <c r="V1046" s="440"/>
      <c r="W1046" s="440"/>
      <c r="X1046" s="440"/>
      <c r="Y1046" s="440"/>
      <c r="Z1046" s="440"/>
      <c r="AA1046" s="408">
        <f t="shared" si="117"/>
        <v>0</v>
      </c>
    </row>
    <row r="1047" spans="1:27" s="30" customFormat="1" ht="31.5" hidden="1">
      <c r="A1047" s="536"/>
      <c r="B1047" s="512"/>
      <c r="C1047" s="135" t="s">
        <v>201</v>
      </c>
      <c r="D1047" s="225" t="s">
        <v>202</v>
      </c>
      <c r="E1047" s="172"/>
      <c r="F1047" s="229"/>
      <c r="G1047" s="172"/>
      <c r="H1047" s="421"/>
      <c r="I1047" s="169" t="e">
        <f>J1047+K1047+L1047+M1047+#REF!+#REF!</f>
        <v>#REF!</v>
      </c>
      <c r="J1047" s="169"/>
      <c r="K1047" s="169"/>
      <c r="L1047" s="169"/>
      <c r="M1047" s="169"/>
      <c r="N1047" s="440"/>
      <c r="O1047" s="440"/>
      <c r="P1047" s="440"/>
      <c r="Q1047" s="440"/>
      <c r="R1047" s="440"/>
      <c r="S1047" s="440"/>
      <c r="T1047" s="440"/>
      <c r="U1047" s="440"/>
      <c r="V1047" s="440"/>
      <c r="W1047" s="440"/>
      <c r="X1047" s="440"/>
      <c r="Y1047" s="440"/>
      <c r="Z1047" s="440"/>
      <c r="AA1047" s="408">
        <f aca="true" t="shared" si="128" ref="AA1047:AA1064">N1047+O1047+P1047+Q1047+R1047+S1047+T1047+U1047-Z1047</f>
        <v>0</v>
      </c>
    </row>
    <row r="1048" spans="1:27" s="30" customFormat="1" ht="31.5" hidden="1">
      <c r="A1048" s="515"/>
      <c r="B1048" s="516"/>
      <c r="C1048" s="135"/>
      <c r="D1048" s="225" t="s">
        <v>203</v>
      </c>
      <c r="E1048" s="172"/>
      <c r="F1048" s="229"/>
      <c r="G1048" s="172"/>
      <c r="H1048" s="421"/>
      <c r="I1048" s="169" t="e">
        <f>J1048+K1048+L1048+M1048+#REF!+#REF!</f>
        <v>#REF!</v>
      </c>
      <c r="J1048" s="169"/>
      <c r="K1048" s="169"/>
      <c r="L1048" s="169"/>
      <c r="M1048" s="169"/>
      <c r="N1048" s="440"/>
      <c r="O1048" s="440"/>
      <c r="P1048" s="440"/>
      <c r="Q1048" s="440"/>
      <c r="R1048" s="440"/>
      <c r="S1048" s="440"/>
      <c r="T1048" s="440"/>
      <c r="U1048" s="440"/>
      <c r="V1048" s="440"/>
      <c r="W1048" s="440"/>
      <c r="X1048" s="440"/>
      <c r="Y1048" s="440"/>
      <c r="Z1048" s="440"/>
      <c r="AA1048" s="408">
        <f t="shared" si="128"/>
        <v>0</v>
      </c>
    </row>
    <row r="1049" spans="1:61" s="28" customFormat="1" ht="15.75">
      <c r="A1049" s="535" t="s">
        <v>1092</v>
      </c>
      <c r="B1049" s="538" t="s">
        <v>697</v>
      </c>
      <c r="C1049" s="267"/>
      <c r="D1049" s="168" t="s">
        <v>1597</v>
      </c>
      <c r="E1049" s="137"/>
      <c r="F1049" s="138"/>
      <c r="G1049" s="137"/>
      <c r="H1049" s="417"/>
      <c r="I1049" s="139">
        <f>I1050+I1054</f>
        <v>642000</v>
      </c>
      <c r="J1049" s="139">
        <f>J1050+J1054</f>
        <v>0</v>
      </c>
      <c r="K1049" s="139">
        <f>K1050+K1054</f>
        <v>0</v>
      </c>
      <c r="L1049" s="139">
        <f>L1050+L1054</f>
        <v>0</v>
      </c>
      <c r="M1049" s="139">
        <f>M1050+M1054</f>
        <v>642000</v>
      </c>
      <c r="N1049" s="139">
        <f aca="true" t="shared" si="129" ref="N1049:Z1049">N1050+N1054</f>
        <v>0</v>
      </c>
      <c r="O1049" s="139">
        <f t="shared" si="129"/>
        <v>0</v>
      </c>
      <c r="P1049" s="139">
        <f t="shared" si="129"/>
        <v>0</v>
      </c>
      <c r="Q1049" s="139">
        <f t="shared" si="129"/>
        <v>0</v>
      </c>
      <c r="R1049" s="139">
        <f t="shared" si="129"/>
        <v>0</v>
      </c>
      <c r="S1049" s="139">
        <f t="shared" si="129"/>
        <v>0</v>
      </c>
      <c r="T1049" s="139">
        <f t="shared" si="129"/>
        <v>0</v>
      </c>
      <c r="U1049" s="139">
        <f t="shared" si="129"/>
        <v>292000</v>
      </c>
      <c r="V1049" s="139">
        <f t="shared" si="129"/>
        <v>350000</v>
      </c>
      <c r="W1049" s="139">
        <f t="shared" si="129"/>
        <v>0</v>
      </c>
      <c r="X1049" s="139">
        <f t="shared" si="129"/>
        <v>0</v>
      </c>
      <c r="Y1049" s="139">
        <f t="shared" si="129"/>
        <v>0</v>
      </c>
      <c r="Z1049" s="139">
        <f t="shared" si="129"/>
        <v>0</v>
      </c>
      <c r="AA1049" s="408">
        <f t="shared" si="128"/>
        <v>292000</v>
      </c>
      <c r="AB1049" s="30"/>
      <c r="AC1049" s="30"/>
      <c r="AD1049" s="30"/>
      <c r="AE1049" s="30"/>
      <c r="AF1049" s="30"/>
      <c r="AG1049" s="30"/>
      <c r="AH1049" s="30"/>
      <c r="AI1049" s="30"/>
      <c r="AJ1049" s="30"/>
      <c r="AK1049" s="30"/>
      <c r="AL1049" s="30"/>
      <c r="AM1049" s="30"/>
      <c r="AN1049" s="30"/>
      <c r="AO1049" s="30"/>
      <c r="AP1049" s="30"/>
      <c r="AQ1049" s="30"/>
      <c r="AR1049" s="30"/>
      <c r="AS1049" s="30"/>
      <c r="AT1049" s="30"/>
      <c r="AU1049" s="30"/>
      <c r="AV1049" s="30"/>
      <c r="AW1049" s="30"/>
      <c r="AX1049" s="30"/>
      <c r="AY1049" s="30"/>
      <c r="AZ1049" s="30"/>
      <c r="BA1049" s="30"/>
      <c r="BB1049" s="30"/>
      <c r="BC1049" s="30"/>
      <c r="BD1049" s="30"/>
      <c r="BE1049" s="30"/>
      <c r="BF1049" s="30"/>
      <c r="BG1049" s="30"/>
      <c r="BH1049" s="30"/>
      <c r="BI1049" s="30"/>
    </row>
    <row r="1050" spans="1:27" s="369" customFormat="1" ht="30.75" customHeight="1">
      <c r="A1050" s="536"/>
      <c r="B1050" s="512"/>
      <c r="C1050" s="266"/>
      <c r="D1050" s="378" t="s">
        <v>846</v>
      </c>
      <c r="E1050" s="172"/>
      <c r="F1050" s="229"/>
      <c r="G1050" s="172"/>
      <c r="H1050" s="418"/>
      <c r="I1050" s="74">
        <f>SUM(I1051:I1053)</f>
        <v>142000</v>
      </c>
      <c r="J1050" s="74">
        <f>SUM(J1051:J1053)</f>
        <v>0</v>
      </c>
      <c r="K1050" s="74">
        <f>SUM(K1051:K1053)</f>
        <v>0</v>
      </c>
      <c r="L1050" s="74">
        <f>SUM(L1051:L1053)</f>
        <v>0</v>
      </c>
      <c r="M1050" s="74">
        <f>SUM(M1051:M1053)</f>
        <v>142000</v>
      </c>
      <c r="N1050" s="74">
        <f aca="true" t="shared" si="130" ref="N1050:Z1050">SUM(N1051:N1053)</f>
        <v>0</v>
      </c>
      <c r="O1050" s="74">
        <f t="shared" si="130"/>
        <v>0</v>
      </c>
      <c r="P1050" s="74">
        <f t="shared" si="130"/>
        <v>0</v>
      </c>
      <c r="Q1050" s="74">
        <f t="shared" si="130"/>
        <v>0</v>
      </c>
      <c r="R1050" s="74">
        <f t="shared" si="130"/>
        <v>0</v>
      </c>
      <c r="S1050" s="74">
        <f t="shared" si="130"/>
        <v>0</v>
      </c>
      <c r="T1050" s="74">
        <f t="shared" si="130"/>
        <v>0</v>
      </c>
      <c r="U1050" s="74">
        <f t="shared" si="130"/>
        <v>92000</v>
      </c>
      <c r="V1050" s="74">
        <f t="shared" si="130"/>
        <v>50000</v>
      </c>
      <c r="W1050" s="74">
        <f t="shared" si="130"/>
        <v>0</v>
      </c>
      <c r="X1050" s="74">
        <f t="shared" si="130"/>
        <v>0</v>
      </c>
      <c r="Y1050" s="74">
        <f t="shared" si="130"/>
        <v>0</v>
      </c>
      <c r="Z1050" s="74">
        <f t="shared" si="130"/>
        <v>0</v>
      </c>
      <c r="AA1050" s="408">
        <f t="shared" si="128"/>
        <v>92000</v>
      </c>
    </row>
    <row r="1051" spans="1:27" s="369" customFormat="1" ht="18" customHeight="1">
      <c r="A1051" s="536"/>
      <c r="B1051" s="512"/>
      <c r="C1051" s="266"/>
      <c r="D1051" s="346" t="s">
        <v>1466</v>
      </c>
      <c r="E1051" s="172"/>
      <c r="F1051" s="229"/>
      <c r="G1051" s="172"/>
      <c r="H1051" s="418">
        <v>3110</v>
      </c>
      <c r="I1051" s="144">
        <v>42000</v>
      </c>
      <c r="J1051" s="169"/>
      <c r="K1051" s="169"/>
      <c r="L1051" s="49"/>
      <c r="M1051" s="49">
        <v>42000</v>
      </c>
      <c r="N1051" s="440"/>
      <c r="O1051" s="440"/>
      <c r="P1051" s="440"/>
      <c r="Q1051" s="440"/>
      <c r="R1051" s="440"/>
      <c r="S1051" s="440"/>
      <c r="T1051" s="440"/>
      <c r="U1051" s="440">
        <v>42000</v>
      </c>
      <c r="V1051" s="440"/>
      <c r="W1051" s="440"/>
      <c r="X1051" s="440"/>
      <c r="Y1051" s="440"/>
      <c r="Z1051" s="440"/>
      <c r="AA1051" s="408">
        <f t="shared" si="128"/>
        <v>42000</v>
      </c>
    </row>
    <row r="1052" spans="1:27" s="369" customFormat="1" ht="31.5">
      <c r="A1052" s="536"/>
      <c r="B1052" s="512"/>
      <c r="C1052" s="266"/>
      <c r="D1052" s="346" t="s">
        <v>1654</v>
      </c>
      <c r="E1052" s="172"/>
      <c r="F1052" s="229"/>
      <c r="G1052" s="172"/>
      <c r="H1052" s="418">
        <v>3132</v>
      </c>
      <c r="I1052" s="144">
        <v>50000</v>
      </c>
      <c r="J1052" s="169"/>
      <c r="K1052" s="169"/>
      <c r="L1052" s="49"/>
      <c r="M1052" s="49">
        <v>50000</v>
      </c>
      <c r="N1052" s="440"/>
      <c r="O1052" s="440"/>
      <c r="P1052" s="440"/>
      <c r="Q1052" s="440"/>
      <c r="R1052" s="440"/>
      <c r="S1052" s="440"/>
      <c r="T1052" s="440"/>
      <c r="U1052" s="440">
        <v>50000</v>
      </c>
      <c r="V1052" s="440"/>
      <c r="W1052" s="440"/>
      <c r="X1052" s="440"/>
      <c r="Y1052" s="440"/>
      <c r="Z1052" s="440"/>
      <c r="AA1052" s="408">
        <f t="shared" si="128"/>
        <v>50000</v>
      </c>
    </row>
    <row r="1053" spans="1:27" s="369" customFormat="1" ht="31.5">
      <c r="A1053" s="536"/>
      <c r="B1053" s="512"/>
      <c r="C1053" s="266"/>
      <c r="D1053" s="346" t="s">
        <v>1655</v>
      </c>
      <c r="E1053" s="172"/>
      <c r="F1053" s="229"/>
      <c r="G1053" s="172"/>
      <c r="H1053" s="418">
        <v>3132</v>
      </c>
      <c r="I1053" s="144">
        <v>50000</v>
      </c>
      <c r="J1053" s="169"/>
      <c r="K1053" s="169"/>
      <c r="L1053" s="49"/>
      <c r="M1053" s="49">
        <v>50000</v>
      </c>
      <c r="N1053" s="440"/>
      <c r="O1053" s="440"/>
      <c r="P1053" s="440"/>
      <c r="Q1053" s="440"/>
      <c r="R1053" s="440"/>
      <c r="S1053" s="440"/>
      <c r="T1053" s="440"/>
      <c r="U1053" s="440"/>
      <c r="V1053" s="440">
        <v>50000</v>
      </c>
      <c r="W1053" s="440"/>
      <c r="X1053" s="440"/>
      <c r="Y1053" s="440"/>
      <c r="Z1053" s="440"/>
      <c r="AA1053" s="408">
        <f t="shared" si="128"/>
        <v>0</v>
      </c>
    </row>
    <row r="1054" spans="1:27" s="369" customFormat="1" ht="31.5" customHeight="1">
      <c r="A1054" s="536"/>
      <c r="B1054" s="512"/>
      <c r="C1054" s="321"/>
      <c r="D1054" s="378" t="s">
        <v>847</v>
      </c>
      <c r="E1054" s="172"/>
      <c r="F1054" s="229"/>
      <c r="G1054" s="172"/>
      <c r="H1054" s="418"/>
      <c r="I1054" s="74">
        <f>I1055</f>
        <v>500000</v>
      </c>
      <c r="J1054" s="74">
        <f>J1055</f>
        <v>0</v>
      </c>
      <c r="K1054" s="74">
        <f>K1055</f>
        <v>0</v>
      </c>
      <c r="L1054" s="74">
        <f>L1055</f>
        <v>0</v>
      </c>
      <c r="M1054" s="74">
        <f>M1055</f>
        <v>500000</v>
      </c>
      <c r="N1054" s="74">
        <f aca="true" t="shared" si="131" ref="N1054:Z1054">N1055</f>
        <v>0</v>
      </c>
      <c r="O1054" s="74">
        <f t="shared" si="131"/>
        <v>0</v>
      </c>
      <c r="P1054" s="74">
        <f t="shared" si="131"/>
        <v>0</v>
      </c>
      <c r="Q1054" s="74">
        <f t="shared" si="131"/>
        <v>0</v>
      </c>
      <c r="R1054" s="74">
        <f t="shared" si="131"/>
        <v>0</v>
      </c>
      <c r="S1054" s="74">
        <f t="shared" si="131"/>
        <v>0</v>
      </c>
      <c r="T1054" s="74">
        <f t="shared" si="131"/>
        <v>0</v>
      </c>
      <c r="U1054" s="74">
        <f t="shared" si="131"/>
        <v>200000</v>
      </c>
      <c r="V1054" s="74">
        <f t="shared" si="131"/>
        <v>300000</v>
      </c>
      <c r="W1054" s="74">
        <f t="shared" si="131"/>
        <v>0</v>
      </c>
      <c r="X1054" s="74">
        <f t="shared" si="131"/>
        <v>0</v>
      </c>
      <c r="Y1054" s="74">
        <f t="shared" si="131"/>
        <v>0</v>
      </c>
      <c r="Z1054" s="74">
        <f t="shared" si="131"/>
        <v>0</v>
      </c>
      <c r="AA1054" s="408">
        <f t="shared" si="128"/>
        <v>200000</v>
      </c>
    </row>
    <row r="1055" spans="1:27" s="369" customFormat="1" ht="31.5">
      <c r="A1055" s="536"/>
      <c r="B1055" s="512"/>
      <c r="C1055" s="266"/>
      <c r="D1055" s="385" t="s">
        <v>1656</v>
      </c>
      <c r="E1055" s="172"/>
      <c r="F1055" s="229"/>
      <c r="G1055" s="172"/>
      <c r="H1055" s="418">
        <v>3142</v>
      </c>
      <c r="I1055" s="144">
        <v>500000</v>
      </c>
      <c r="J1055" s="169"/>
      <c r="K1055" s="169"/>
      <c r="L1055" s="51"/>
      <c r="M1055" s="51">
        <v>500000</v>
      </c>
      <c r="N1055" s="440"/>
      <c r="O1055" s="440"/>
      <c r="P1055" s="440"/>
      <c r="Q1055" s="440"/>
      <c r="R1055" s="440"/>
      <c r="S1055" s="440"/>
      <c r="T1055" s="440"/>
      <c r="U1055" s="440">
        <v>200000</v>
      </c>
      <c r="V1055" s="440">
        <v>300000</v>
      </c>
      <c r="W1055" s="440"/>
      <c r="X1055" s="440"/>
      <c r="Y1055" s="440"/>
      <c r="Z1055" s="440"/>
      <c r="AA1055" s="408">
        <f t="shared" si="128"/>
        <v>200000</v>
      </c>
    </row>
    <row r="1056" spans="1:27" s="45" customFormat="1" ht="10.5" customHeight="1" hidden="1">
      <c r="A1056" s="157"/>
      <c r="B1056" s="217"/>
      <c r="C1056" s="135"/>
      <c r="D1056" s="217"/>
      <c r="E1056" s="172"/>
      <c r="F1056" s="229"/>
      <c r="G1056" s="172"/>
      <c r="H1056" s="421"/>
      <c r="I1056" s="144"/>
      <c r="J1056" s="144"/>
      <c r="K1056" s="463"/>
      <c r="L1056" s="144"/>
      <c r="M1056" s="144"/>
      <c r="N1056" s="408"/>
      <c r="O1056" s="408"/>
      <c r="P1056" s="408"/>
      <c r="Q1056" s="408"/>
      <c r="R1056" s="408"/>
      <c r="S1056" s="408"/>
      <c r="T1056" s="408"/>
      <c r="U1056" s="408"/>
      <c r="V1056" s="408"/>
      <c r="W1056" s="408"/>
      <c r="X1056" s="408"/>
      <c r="Y1056" s="408"/>
      <c r="Z1056" s="408"/>
      <c r="AA1056" s="408">
        <f t="shared" si="128"/>
        <v>0</v>
      </c>
    </row>
    <row r="1057" spans="1:27" ht="15.75" customHeight="1" hidden="1">
      <c r="A1057" s="233" t="s">
        <v>60</v>
      </c>
      <c r="B1057" s="545" t="s">
        <v>1366</v>
      </c>
      <c r="C1057" s="545"/>
      <c r="D1057" s="545"/>
      <c r="E1057" s="193"/>
      <c r="F1057" s="194"/>
      <c r="G1057" s="193"/>
      <c r="H1057" s="426"/>
      <c r="I1057" s="132" t="e">
        <f>J1057+K1057+L1057+M1057+#REF!+#REF!</f>
        <v>#REF!</v>
      </c>
      <c r="J1057" s="132">
        <f>J1058+J1060</f>
        <v>0</v>
      </c>
      <c r="K1057" s="132">
        <f>K1058</f>
        <v>0</v>
      </c>
      <c r="L1057" s="132">
        <f>L1058+L1060</f>
        <v>0</v>
      </c>
      <c r="M1057" s="132">
        <f>M1058</f>
        <v>0</v>
      </c>
      <c r="N1057" s="408"/>
      <c r="O1057" s="408"/>
      <c r="P1057" s="408"/>
      <c r="Q1057" s="408"/>
      <c r="R1057" s="408"/>
      <c r="S1057" s="408"/>
      <c r="T1057" s="408"/>
      <c r="U1057" s="408"/>
      <c r="V1057" s="408"/>
      <c r="W1057" s="408"/>
      <c r="X1057" s="408"/>
      <c r="Y1057" s="408"/>
      <c r="Z1057" s="408"/>
      <c r="AA1057" s="408">
        <f t="shared" si="128"/>
        <v>0</v>
      </c>
    </row>
    <row r="1058" spans="1:27" s="45" customFormat="1" ht="15.75" hidden="1">
      <c r="A1058" s="508" t="s">
        <v>1154</v>
      </c>
      <c r="B1058" s="544" t="s">
        <v>1599</v>
      </c>
      <c r="C1058" s="195"/>
      <c r="D1058" s="216" t="s">
        <v>1597</v>
      </c>
      <c r="E1058" s="137"/>
      <c r="F1058" s="138"/>
      <c r="G1058" s="137"/>
      <c r="H1058" s="417"/>
      <c r="I1058" s="139" t="e">
        <f>J1058+K1058+L1058+M1058+#REF!+#REF!</f>
        <v>#REF!</v>
      </c>
      <c r="J1058" s="139">
        <f>J1059</f>
        <v>0</v>
      </c>
      <c r="K1058" s="139">
        <f>K1059</f>
        <v>0</v>
      </c>
      <c r="L1058" s="139">
        <f>L1059</f>
        <v>0</v>
      </c>
      <c r="M1058" s="139">
        <f>M1059</f>
        <v>0</v>
      </c>
      <c r="N1058" s="408"/>
      <c r="O1058" s="408"/>
      <c r="P1058" s="408"/>
      <c r="Q1058" s="408"/>
      <c r="R1058" s="408"/>
      <c r="S1058" s="408"/>
      <c r="T1058" s="408"/>
      <c r="U1058" s="408"/>
      <c r="V1058" s="408"/>
      <c r="W1058" s="408"/>
      <c r="X1058" s="408"/>
      <c r="Y1058" s="408"/>
      <c r="Z1058" s="408"/>
      <c r="AA1058" s="408">
        <f t="shared" si="128"/>
        <v>0</v>
      </c>
    </row>
    <row r="1059" spans="1:27" s="45" customFormat="1" ht="31.5" customHeight="1" hidden="1">
      <c r="A1059" s="508"/>
      <c r="B1059" s="544"/>
      <c r="C1059" s="148" t="s">
        <v>370</v>
      </c>
      <c r="D1059" s="141" t="s">
        <v>371</v>
      </c>
      <c r="E1059" s="172"/>
      <c r="F1059" s="229"/>
      <c r="G1059" s="172"/>
      <c r="H1059" s="421"/>
      <c r="I1059" s="144" t="e">
        <f>J1059+K1059+L1059+M1059+#REF!+#REF!</f>
        <v>#REF!</v>
      </c>
      <c r="J1059" s="144"/>
      <c r="K1059" s="144"/>
      <c r="L1059" s="144"/>
      <c r="M1059" s="144"/>
      <c r="N1059" s="408"/>
      <c r="O1059" s="408"/>
      <c r="P1059" s="408"/>
      <c r="Q1059" s="408"/>
      <c r="R1059" s="408"/>
      <c r="S1059" s="408"/>
      <c r="T1059" s="408"/>
      <c r="U1059" s="408"/>
      <c r="V1059" s="408"/>
      <c r="W1059" s="408"/>
      <c r="X1059" s="408"/>
      <c r="Y1059" s="408"/>
      <c r="Z1059" s="408"/>
      <c r="AA1059" s="408">
        <f t="shared" si="128"/>
        <v>0</v>
      </c>
    </row>
    <row r="1060" spans="1:27" s="30" customFormat="1" ht="110.25" hidden="1">
      <c r="A1060" s="166">
        <v>250344</v>
      </c>
      <c r="B1060" s="166" t="s">
        <v>696</v>
      </c>
      <c r="C1060" s="167" t="s">
        <v>206</v>
      </c>
      <c r="D1060" s="168" t="s">
        <v>1453</v>
      </c>
      <c r="E1060" s="137"/>
      <c r="F1060" s="159"/>
      <c r="G1060" s="137"/>
      <c r="H1060" s="417"/>
      <c r="I1060" s="139" t="e">
        <f>J1060+K1060+L1060+M1060+#REF!+#REF!</f>
        <v>#REF!</v>
      </c>
      <c r="J1060" s="139"/>
      <c r="K1060" s="139"/>
      <c r="L1060" s="139"/>
      <c r="M1060" s="139"/>
      <c r="N1060" s="408"/>
      <c r="O1060" s="440"/>
      <c r="P1060" s="440"/>
      <c r="Q1060" s="440"/>
      <c r="R1060" s="440"/>
      <c r="S1060" s="440"/>
      <c r="T1060" s="440"/>
      <c r="U1060" s="440"/>
      <c r="V1060" s="440"/>
      <c r="W1060" s="440"/>
      <c r="X1060" s="440"/>
      <c r="Y1060" s="440"/>
      <c r="Z1060" s="440"/>
      <c r="AA1060" s="408">
        <f t="shared" si="128"/>
        <v>0</v>
      </c>
    </row>
    <row r="1061" spans="1:27" ht="15.75" hidden="1">
      <c r="A1061" s="310"/>
      <c r="B1061" s="310"/>
      <c r="C1061" s="306"/>
      <c r="D1061" s="217"/>
      <c r="E1061" s="292"/>
      <c r="F1061" s="335"/>
      <c r="G1061" s="292"/>
      <c r="H1061" s="428"/>
      <c r="I1061" s="307"/>
      <c r="J1061" s="307"/>
      <c r="K1061" s="477"/>
      <c r="L1061" s="307"/>
      <c r="M1061" s="307"/>
      <c r="N1061" s="408"/>
      <c r="O1061" s="408"/>
      <c r="P1061" s="408"/>
      <c r="Q1061" s="408"/>
      <c r="R1061" s="408"/>
      <c r="S1061" s="408"/>
      <c r="T1061" s="408"/>
      <c r="U1061" s="408"/>
      <c r="V1061" s="408"/>
      <c r="W1061" s="408"/>
      <c r="X1061" s="408"/>
      <c r="Y1061" s="408"/>
      <c r="Z1061" s="408"/>
      <c r="AA1061" s="408">
        <f t="shared" si="128"/>
        <v>0</v>
      </c>
    </row>
    <row r="1062" spans="1:61" s="98" customFormat="1" ht="19.5" customHeight="1">
      <c r="A1062" s="580" t="s">
        <v>1454</v>
      </c>
      <c r="B1062" s="580"/>
      <c r="C1062" s="580"/>
      <c r="D1062" s="580"/>
      <c r="E1062" s="580"/>
      <c r="F1062" s="580"/>
      <c r="G1062" s="580"/>
      <c r="H1062" s="434"/>
      <c r="I1062" s="299">
        <f>I1026+I1020+I742+I612+I567+I435+I86+I76+I19</f>
        <v>195632391.98</v>
      </c>
      <c r="J1062" s="299">
        <f>J1026+J1020+J742+J612+J567+J435+J86+J76+J19</f>
        <v>1294362</v>
      </c>
      <c r="K1062" s="299">
        <f>K1026+K1020+K742+K612+K567+K435+K86+K76+K19</f>
        <v>30000</v>
      </c>
      <c r="L1062" s="299">
        <f>L1026+L1020+L742+L612+L567+L435+L86+L76+L19</f>
        <v>91882695.84</v>
      </c>
      <c r="M1062" s="299">
        <f>M1026+M1020+M742+M612+M567+M435+M86+M76+M19</f>
        <v>103425334.14</v>
      </c>
      <c r="N1062" s="299">
        <f>N1026+N1020+N742+N612+N567+N435+N86+N76+N19</f>
        <v>0</v>
      </c>
      <c r="O1062" s="299">
        <f>O1026+O1020+O742+O612+O567+O435+O86+O76+O19</f>
        <v>10548885.09</v>
      </c>
      <c r="P1062" s="299">
        <f>P1026+P1020+P742+P612+P567+P435+P86+P76+P19</f>
        <v>51429</v>
      </c>
      <c r="Q1062" s="299">
        <f>Q1026+Q1020+Q742+Q612+Q567+Q435+Q86+Q76+Q19</f>
        <v>9745770.76</v>
      </c>
      <c r="R1062" s="299">
        <f>R1026+R1020+R742+R612+R567+R435+R86+R76+R19</f>
        <v>30668768.94</v>
      </c>
      <c r="S1062" s="299">
        <f>S1026+S1020+S742+S612+S567+S435+S86+S76+S19</f>
        <v>29038231.2</v>
      </c>
      <c r="T1062" s="299">
        <f>T1026+T1020+T742+T612+T567+T435+T86+T76+T19</f>
        <v>27998297.88</v>
      </c>
      <c r="U1062" s="299">
        <f>U1026+U1020+U742+U612+U567+U435+U86+U76+U19</f>
        <v>31349049.09</v>
      </c>
      <c r="V1062" s="299">
        <f>V1026+V1020+V742+V612+V567+V435+V86+V76+V19</f>
        <v>15815202.36</v>
      </c>
      <c r="W1062" s="299">
        <f>W1026+W1020+W742+W612+W567+W435+W86+W76+W19</f>
        <v>12664400</v>
      </c>
      <c r="X1062" s="299">
        <f>X1026+X1020+X742+X612+X567+X435+X86+X76+X19</f>
        <v>17497187.49</v>
      </c>
      <c r="Y1062" s="299">
        <f>Y1026+Y1020+Y742+Y612+Y567+Y435+Y86+Y76+Y19</f>
        <v>9739746.77</v>
      </c>
      <c r="Z1062" s="299">
        <f>Z1026+Z1020+Z742+Z612+Z567+Z435+Z86+Z76+Z19</f>
        <v>34626778.42</v>
      </c>
      <c r="AA1062" s="408">
        <f t="shared" si="128"/>
        <v>104773653.54</v>
      </c>
      <c r="AB1062" s="104"/>
      <c r="AC1062" s="104"/>
      <c r="AD1062" s="104"/>
      <c r="AE1062" s="104"/>
      <c r="AF1062" s="104"/>
      <c r="AG1062" s="104"/>
      <c r="AH1062" s="104"/>
      <c r="AI1062" s="104"/>
      <c r="AJ1062" s="104"/>
      <c r="AK1062" s="104"/>
      <c r="AL1062" s="104"/>
      <c r="AM1062" s="104"/>
      <c r="AN1062" s="104"/>
      <c r="AO1062" s="104"/>
      <c r="AP1062" s="104"/>
      <c r="AQ1062" s="104"/>
      <c r="AR1062" s="104"/>
      <c r="AS1062" s="104"/>
      <c r="AT1062" s="104"/>
      <c r="AU1062" s="104"/>
      <c r="AV1062" s="104"/>
      <c r="AW1062" s="104"/>
      <c r="AX1062" s="104"/>
      <c r="AY1062" s="104"/>
      <c r="AZ1062" s="104"/>
      <c r="BA1062" s="104"/>
      <c r="BB1062" s="104"/>
      <c r="BC1062" s="104"/>
      <c r="BD1062" s="104"/>
      <c r="BE1062" s="104"/>
      <c r="BF1062" s="104"/>
      <c r="BG1062" s="104"/>
      <c r="BH1062" s="104"/>
      <c r="BI1062" s="104"/>
    </row>
    <row r="1063" spans="1:27" ht="67.5" customHeight="1">
      <c r="A1063" s="411">
        <v>250903</v>
      </c>
      <c r="B1063" s="410" t="s">
        <v>1580</v>
      </c>
      <c r="C1063" s="409"/>
      <c r="D1063" s="410" t="s">
        <v>378</v>
      </c>
      <c r="E1063" s="411"/>
      <c r="F1063" s="411"/>
      <c r="G1063" s="411"/>
      <c r="H1063" s="437">
        <v>4113</v>
      </c>
      <c r="I1063" s="412">
        <v>15408500</v>
      </c>
      <c r="J1063" s="412"/>
      <c r="K1063" s="440"/>
      <c r="L1063" s="412"/>
      <c r="M1063" s="412"/>
      <c r="N1063" s="440"/>
      <c r="O1063" s="440"/>
      <c r="P1063" s="440">
        <v>4032650</v>
      </c>
      <c r="Q1063" s="440">
        <v>3671600</v>
      </c>
      <c r="R1063" s="440"/>
      <c r="S1063" s="440"/>
      <c r="T1063" s="440"/>
      <c r="U1063" s="440"/>
      <c r="V1063" s="440">
        <v>4032650</v>
      </c>
      <c r="W1063" s="440">
        <v>3671600</v>
      </c>
      <c r="X1063" s="440"/>
      <c r="Y1063" s="440"/>
      <c r="Z1063" s="408"/>
      <c r="AA1063" s="408">
        <f t="shared" si="128"/>
        <v>7704250</v>
      </c>
    </row>
    <row r="1064" spans="1:27" s="461" customFormat="1" ht="40.5" customHeight="1">
      <c r="A1064" s="581" t="s">
        <v>379</v>
      </c>
      <c r="B1064" s="581"/>
      <c r="C1064" s="581"/>
      <c r="D1064" s="581"/>
      <c r="E1064" s="413"/>
      <c r="F1064" s="413"/>
      <c r="G1064" s="413"/>
      <c r="H1064" s="435"/>
      <c r="I1064" s="414">
        <f>I1063+I1062</f>
        <v>211040891.98</v>
      </c>
      <c r="J1064" s="414"/>
      <c r="K1064" s="414"/>
      <c r="L1064" s="414"/>
      <c r="M1064" s="414"/>
      <c r="N1064" s="414">
        <f>N1063+N1062</f>
        <v>0</v>
      </c>
      <c r="O1064" s="414">
        <f aca="true" t="shared" si="132" ref="O1064:Z1064">O1063+O1062</f>
        <v>10548885.09</v>
      </c>
      <c r="P1064" s="414">
        <f t="shared" si="132"/>
        <v>4084079</v>
      </c>
      <c r="Q1064" s="414">
        <f t="shared" si="132"/>
        <v>13417370.76</v>
      </c>
      <c r="R1064" s="414">
        <f t="shared" si="132"/>
        <v>30668768.94</v>
      </c>
      <c r="S1064" s="414">
        <f t="shared" si="132"/>
        <v>29038231.2</v>
      </c>
      <c r="T1064" s="414">
        <f t="shared" si="132"/>
        <v>27998297.88</v>
      </c>
      <c r="U1064" s="414">
        <f t="shared" si="132"/>
        <v>31349049.09</v>
      </c>
      <c r="V1064" s="414">
        <f t="shared" si="132"/>
        <v>19847852.36</v>
      </c>
      <c r="W1064" s="414">
        <f t="shared" si="132"/>
        <v>16336000</v>
      </c>
      <c r="X1064" s="414">
        <f t="shared" si="132"/>
        <v>17497187.49</v>
      </c>
      <c r="Y1064" s="414">
        <f t="shared" si="132"/>
        <v>9739746.77</v>
      </c>
      <c r="Z1064" s="414">
        <f t="shared" si="132"/>
        <v>34626778.42</v>
      </c>
      <c r="AA1064" s="408">
        <f t="shared" si="128"/>
        <v>112477903.54</v>
      </c>
    </row>
    <row r="1065" ht="15.75">
      <c r="K1065" s="388"/>
    </row>
    <row r="1066" spans="10:25" ht="15.75">
      <c r="J1066" s="398"/>
      <c r="K1066" s="398"/>
      <c r="L1066" s="398"/>
      <c r="M1066" s="398"/>
      <c r="N1066" s="398"/>
      <c r="O1066" s="398"/>
      <c r="P1066" s="398"/>
      <c r="Q1066" s="398"/>
      <c r="R1066" s="398"/>
      <c r="S1066" s="398"/>
      <c r="T1066" s="398"/>
      <c r="U1066" s="398"/>
      <c r="V1066" s="398"/>
      <c r="W1066" s="398"/>
      <c r="X1066" s="398"/>
      <c r="Y1066" s="398"/>
    </row>
    <row r="1067" ht="15.75">
      <c r="K1067" s="388"/>
    </row>
    <row r="1068" spans="11:25" ht="15.75">
      <c r="K1068" s="388"/>
      <c r="N1068" s="25"/>
      <c r="O1068" s="25"/>
      <c r="P1068" s="25"/>
      <c r="Q1068" s="25"/>
      <c r="R1068" s="25"/>
      <c r="S1068" s="25"/>
      <c r="T1068" s="25"/>
      <c r="U1068" s="25"/>
      <c r="V1068" s="25"/>
      <c r="W1068" s="25"/>
      <c r="X1068" s="25"/>
      <c r="Y1068" s="25"/>
    </row>
    <row r="1069" ht="15.75">
      <c r="K1069" s="388"/>
    </row>
    <row r="1070" spans="11:14" ht="15.75">
      <c r="K1070" s="388"/>
      <c r="N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sheetData>
  <sheetProtection/>
  <mergeCells count="191">
    <mergeCell ref="A776:A777"/>
    <mergeCell ref="B776:B777"/>
    <mergeCell ref="N16:Y16"/>
    <mergeCell ref="J16:M16"/>
    <mergeCell ref="B13:H13"/>
    <mergeCell ref="B14:H14"/>
    <mergeCell ref="B790:B791"/>
    <mergeCell ref="Z16:Z17"/>
    <mergeCell ref="AA16:AA17"/>
    <mergeCell ref="B3:H3"/>
    <mergeCell ref="B4:H4"/>
    <mergeCell ref="B5:H5"/>
    <mergeCell ref="B6:H6"/>
    <mergeCell ref="B7:H7"/>
    <mergeCell ref="B8:H8"/>
    <mergeCell ref="B9:H9"/>
    <mergeCell ref="B1026:D1026"/>
    <mergeCell ref="B794:B797"/>
    <mergeCell ref="C1013:C1015"/>
    <mergeCell ref="B1020:D1020"/>
    <mergeCell ref="C822:C825"/>
    <mergeCell ref="B935:B936"/>
    <mergeCell ref="A1062:G1062"/>
    <mergeCell ref="A1046:A1048"/>
    <mergeCell ref="B1046:B1048"/>
    <mergeCell ref="A1049:A1055"/>
    <mergeCell ref="B1049:B1055"/>
    <mergeCell ref="B1057:D1057"/>
    <mergeCell ref="A1058:A1059"/>
    <mergeCell ref="B1058:B1059"/>
    <mergeCell ref="A1043:A1045"/>
    <mergeCell ref="B1043:B1045"/>
    <mergeCell ref="A939:A987"/>
    <mergeCell ref="B939:B987"/>
    <mergeCell ref="A990:A1018"/>
    <mergeCell ref="B990:B1018"/>
    <mergeCell ref="A1021:A1023"/>
    <mergeCell ref="B1021:B1023"/>
    <mergeCell ref="A1027:A1042"/>
    <mergeCell ref="B1027:B1042"/>
    <mergeCell ref="A937:A938"/>
    <mergeCell ref="B937:B938"/>
    <mergeCell ref="A798:A929"/>
    <mergeCell ref="A792:A793"/>
    <mergeCell ref="B792:B793"/>
    <mergeCell ref="A930:A934"/>
    <mergeCell ref="B930:B934"/>
    <mergeCell ref="A935:A936"/>
    <mergeCell ref="B798:B929"/>
    <mergeCell ref="A794:A797"/>
    <mergeCell ref="B739:B740"/>
    <mergeCell ref="B749:B750"/>
    <mergeCell ref="A753:A767"/>
    <mergeCell ref="B753:B767"/>
    <mergeCell ref="B742:D742"/>
    <mergeCell ref="A790:A791"/>
    <mergeCell ref="A743:A748"/>
    <mergeCell ref="B743:B748"/>
    <mergeCell ref="A749:A750"/>
    <mergeCell ref="A770:A775"/>
    <mergeCell ref="B770:B775"/>
    <mergeCell ref="A778:A789"/>
    <mergeCell ref="B778:B789"/>
    <mergeCell ref="A768:A769"/>
    <mergeCell ref="B768:B769"/>
    <mergeCell ref="A635:A658"/>
    <mergeCell ref="B635:B658"/>
    <mergeCell ref="A659:A661"/>
    <mergeCell ref="B659:B661"/>
    <mergeCell ref="A664:A738"/>
    <mergeCell ref="B664:B738"/>
    <mergeCell ref="A739:A740"/>
    <mergeCell ref="B612:D612"/>
    <mergeCell ref="A662:A663"/>
    <mergeCell ref="B662:B663"/>
    <mergeCell ref="B615:D615"/>
    <mergeCell ref="A616:A629"/>
    <mergeCell ref="B616:B629"/>
    <mergeCell ref="A630:A632"/>
    <mergeCell ref="B630:B632"/>
    <mergeCell ref="A633:A634"/>
    <mergeCell ref="B633:B634"/>
    <mergeCell ref="A551:A557"/>
    <mergeCell ref="B551:B557"/>
    <mergeCell ref="A561:A565"/>
    <mergeCell ref="B561:B565"/>
    <mergeCell ref="B588:B604"/>
    <mergeCell ref="A588:A604"/>
    <mergeCell ref="A613:A614"/>
    <mergeCell ref="B613:B614"/>
    <mergeCell ref="B567:D567"/>
    <mergeCell ref="A568:A578"/>
    <mergeCell ref="B568:B578"/>
    <mergeCell ref="A584:A587"/>
    <mergeCell ref="B584:B587"/>
    <mergeCell ref="B607:D607"/>
    <mergeCell ref="A608:A610"/>
    <mergeCell ref="B608:B610"/>
    <mergeCell ref="A476:A536"/>
    <mergeCell ref="B476:B536"/>
    <mergeCell ref="A537:A550"/>
    <mergeCell ref="B537:B550"/>
    <mergeCell ref="C489:C491"/>
    <mergeCell ref="C494:C497"/>
    <mergeCell ref="C499:C502"/>
    <mergeCell ref="C503:C507"/>
    <mergeCell ref="C538:C542"/>
    <mergeCell ref="A473:A475"/>
    <mergeCell ref="B473:B475"/>
    <mergeCell ref="A407:A411"/>
    <mergeCell ref="B407:B411"/>
    <mergeCell ref="A412:A433"/>
    <mergeCell ref="B412:B433"/>
    <mergeCell ref="A436:A437"/>
    <mergeCell ref="B436:B437"/>
    <mergeCell ref="A439:A472"/>
    <mergeCell ref="B439:B472"/>
    <mergeCell ref="A342:A347"/>
    <mergeCell ref="B342:B347"/>
    <mergeCell ref="C423:C432"/>
    <mergeCell ref="B435:D435"/>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4:D1064"/>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2014-08-13T12:50:37Z</dcterms:modified>
  <cp:category/>
  <cp:version/>
  <cp:contentType/>
  <cp:contentStatus/>
</cp:coreProperties>
</file>